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0" yWindow="500" windowWidth="19140" windowHeight="20200" tabRatio="636" activeTab="1"/>
  </bookViews>
  <sheets>
    <sheet name="Directions" sheetId="1" r:id="rId1"/>
    <sheet name="Overview" sheetId="2" r:id="rId2"/>
    <sheet name="Mortgage Calc" sheetId="3" r:id="rId3"/>
    <sheet name="CC Factors" sheetId="4" r:id="rId4"/>
    <sheet name="CC Budget" sheetId="5" r:id="rId5"/>
    <sheet name="Misc. Calc's" sheetId="6" r:id="rId6"/>
  </sheets>
  <definedNames>
    <definedName name="_Fill" hidden="1">#REF!</definedName>
    <definedName name="_xlfn.GAMMA" hidden="1">#NAME?</definedName>
    <definedName name="BENEFITS">'CC Factors'!$C$13</definedName>
    <definedName name="FICA">#REF!</definedName>
    <definedName name="MONTHS">'Mortgage Calc'!#REF!</definedName>
    <definedName name="_xlnm.Print_Area" localSheetId="0">'Directions'!$A$1:$J$50</definedName>
  </definedNames>
  <calcPr fullCalcOnLoad="1"/>
</workbook>
</file>

<file path=xl/comments3.xml><?xml version="1.0" encoding="utf-8"?>
<comments xmlns="http://schemas.openxmlformats.org/spreadsheetml/2006/main">
  <authors>
    <author>Martin Barlau</author>
  </authors>
  <commentList>
    <comment ref="D41" authorId="0">
      <text>
        <r>
          <rPr>
            <b/>
            <sz val="10"/>
            <color indexed="8"/>
            <rFont val="Tahoma"/>
            <family val="2"/>
          </rPr>
          <t>Must enter 0 in C41 to avoid circular logic and read true max oper. deficit here.</t>
        </r>
      </text>
    </comment>
    <comment ref="B29" authorId="0">
      <text>
        <r>
          <rPr>
            <b/>
            <sz val="10"/>
            <color indexed="8"/>
            <rFont val="Tahoma"/>
            <family val="2"/>
          </rPr>
          <t>See contribution, CC Budget, C22</t>
        </r>
      </text>
    </comment>
    <comment ref="E52" authorId="0">
      <text>
        <r>
          <rPr>
            <b/>
            <sz val="10"/>
            <color indexed="8"/>
            <rFont val="Tahoma"/>
            <family val="2"/>
          </rPr>
          <t>Included in CC Budget automatically</t>
        </r>
      </text>
    </comment>
    <comment ref="C12" authorId="0">
      <text>
        <r>
          <rPr>
            <b/>
            <sz val="10"/>
            <color indexed="8"/>
            <rFont val="Tahoma"/>
            <family val="2"/>
          </rPr>
          <t>Set low to allow for advance payment on brown house.</t>
        </r>
      </text>
    </comment>
    <comment ref="B35" authorId="0">
      <text>
        <r>
          <rPr>
            <b/>
            <sz val="10"/>
            <color indexed="8"/>
            <rFont val="Tahoma"/>
            <family val="2"/>
          </rPr>
          <t>Construction costs less half the projected deductions, @6% for 9 months.</t>
        </r>
      </text>
    </comment>
  </commentList>
</comments>
</file>

<file path=xl/comments4.xml><?xml version="1.0" encoding="utf-8"?>
<comments xmlns="http://schemas.openxmlformats.org/spreadsheetml/2006/main">
  <authors>
    <author>Martin Barlau</author>
  </authors>
  <commentList>
    <comment ref="C13" authorId="0">
      <text>
        <r>
          <rPr>
            <b/>
            <sz val="9"/>
            <color indexed="8"/>
            <rFont val="Tahoma"/>
            <family val="2"/>
          </rPr>
          <t xml:space="preserve">If Cong. Is member of Concordia Plan Services, you are STRONGLY encouraged to adopt the option to require workers to pay half the cost of the health plan.  This will relieve the Open Arms director of the significant stress of keeping half the staff under 30 hours per week.  
</t>
        </r>
        <r>
          <rPr>
            <b/>
            <sz val="9"/>
            <color indexed="8"/>
            <rFont val="Tahoma"/>
            <family val="2"/>
          </rPr>
          <t xml:space="preserve">
</t>
        </r>
        <r>
          <rPr>
            <b/>
            <sz val="9"/>
            <color indexed="8"/>
            <rFont val="Tahoma"/>
            <family val="2"/>
          </rPr>
          <t xml:space="preserve">Selected key workers can be reimbursed for their half of the health plan costs with a boost in salary.
</t>
        </r>
        <r>
          <rPr>
            <b/>
            <sz val="9"/>
            <color indexed="8"/>
            <rFont val="Tahoma"/>
            <family val="2"/>
          </rPr>
          <t xml:space="preserve">
</t>
        </r>
        <r>
          <rPr>
            <b/>
            <sz val="9"/>
            <color indexed="8"/>
            <rFont val="Tahoma"/>
            <family val="2"/>
          </rPr>
          <t>If health plan benefits are not managed appropriately, they will be a very heavy burden on the financial health of the center.</t>
        </r>
      </text>
    </comment>
    <comment ref="D92" authorId="0">
      <text>
        <r>
          <rPr>
            <b/>
            <sz val="9"/>
            <rFont val="Tahoma"/>
            <family val="2"/>
          </rPr>
          <t>One of the 1st tchrs. hired might serve as asst. dir. For a while.</t>
        </r>
      </text>
    </comment>
    <comment ref="F27" authorId="0">
      <text>
        <r>
          <rPr>
            <b/>
            <sz val="9"/>
            <color indexed="8"/>
            <rFont val="Tahoma"/>
            <family val="2"/>
          </rPr>
          <t>In this column enter projected enrollment on opening day.</t>
        </r>
      </text>
    </comment>
    <comment ref="G91" authorId="0">
      <text>
        <r>
          <rPr>
            <b/>
            <sz val="9"/>
            <rFont val="Tahoma"/>
            <family val="2"/>
          </rPr>
          <t>Cells copy data from the left until altered as needed.</t>
        </r>
      </text>
    </comment>
    <comment ref="D48" authorId="0">
      <text>
        <r>
          <rPr>
            <b/>
            <sz val="9"/>
            <rFont val="Tahoma"/>
            <family val="2"/>
          </rPr>
          <t>One of the 1st tchrs. hired might serve as asst. dir. For a while.</t>
        </r>
      </text>
    </comment>
    <comment ref="F48" authorId="0">
      <text>
        <r>
          <rPr>
            <b/>
            <sz val="9"/>
            <color indexed="8"/>
            <rFont val="Tahoma"/>
            <family val="2"/>
          </rPr>
          <t>Calculations in this row allow for combination rm. with Infants if it produces a reduction in staff.</t>
        </r>
      </text>
    </comment>
    <comment ref="F51" authorId="0">
      <text>
        <r>
          <rPr>
            <b/>
            <sz val="9"/>
            <color indexed="8"/>
            <rFont val="Tahoma"/>
            <family val="2"/>
          </rPr>
          <t>Calculations in this row allow for combination rm. with 3s if it produces a reduction in staff.</t>
        </r>
      </text>
    </comment>
    <comment ref="F69" authorId="0">
      <text>
        <r>
          <rPr>
            <b/>
            <sz val="9"/>
            <rFont val="Tahoma"/>
            <family val="2"/>
          </rPr>
          <t>Calculations in this row allow for combination rm. with 3s if it produces a reduction in staff.</t>
        </r>
      </text>
    </comment>
    <comment ref="F61" authorId="0">
      <text>
        <r>
          <rPr>
            <b/>
            <sz val="9"/>
            <color indexed="8"/>
            <rFont val="Tahoma"/>
            <family val="2"/>
          </rPr>
          <t>Enter projected enrollment for the month, sch. yr. only.</t>
        </r>
      </text>
    </comment>
    <comment ref="D47" authorId="0">
      <text>
        <r>
          <rPr>
            <b/>
            <sz val="9"/>
            <color indexed="8"/>
            <rFont val="Tahoma"/>
            <family val="2"/>
          </rPr>
          <t>Enter staff numbers manually for months prior to opening.</t>
        </r>
      </text>
    </comment>
    <comment ref="G59" authorId="0">
      <text>
        <r>
          <rPr>
            <sz val="11"/>
            <color indexed="8"/>
            <rFont val="Tahoma"/>
            <family val="2"/>
          </rPr>
          <t>Part-time 3s &amp; 4s tend to enroll for the school year.  They also attend more regularly.  Therefore enrollment changes less during the year, and full attendance may be assumed.</t>
        </r>
      </text>
    </comment>
    <comment ref="AE25" authorId="0">
      <text>
        <r>
          <rPr>
            <b/>
            <sz val="9"/>
            <rFont val="Tahoma"/>
            <family val="2"/>
          </rPr>
          <t>A center can enroll more than capacity, due to staggered attendance .</t>
        </r>
      </text>
    </comment>
    <comment ref="Q37" authorId="0">
      <text>
        <r>
          <rPr>
            <b/>
            <sz val="10"/>
            <rFont val="Tahoma"/>
            <family val="2"/>
          </rPr>
          <t>To change values here, enter amounts in R27-R33 above.</t>
        </r>
      </text>
    </comment>
    <comment ref="E28" authorId="0">
      <text>
        <r>
          <rPr>
            <b/>
            <sz val="9"/>
            <rFont val="Tahoma"/>
            <family val="2"/>
          </rPr>
          <t>Additional rm for Infants/Toddlers combined at first</t>
        </r>
      </text>
    </comment>
    <comment ref="E31" authorId="0">
      <text>
        <r>
          <rPr>
            <b/>
            <sz val="9"/>
            <rFont val="Tahoma"/>
            <family val="2"/>
          </rPr>
          <t>1 rm for 3s and 4s combined at first</t>
        </r>
      </text>
    </comment>
    <comment ref="B8" authorId="0">
      <text>
        <r>
          <rPr>
            <b/>
            <sz val="10"/>
            <color indexed="8"/>
            <rFont val="Tahoma"/>
            <family val="2"/>
          </rPr>
          <t>Rate is applied to all "Full Time" classroom staff in payroll calcu-lations.</t>
        </r>
      </text>
    </comment>
    <comment ref="B9" authorId="0">
      <text>
        <r>
          <rPr>
            <b/>
            <sz val="10"/>
            <color indexed="8"/>
            <rFont val="Tahoma"/>
            <family val="2"/>
          </rPr>
          <t>Rate is applied to all "Part Time" classrm staff.</t>
        </r>
      </text>
    </comment>
    <comment ref="AR25" authorId="0">
      <text>
        <r>
          <rPr>
            <b/>
            <sz val="9"/>
            <rFont val="Tahoma"/>
            <family val="2"/>
          </rPr>
          <t>A center can enroll more than capacity, due to staggered attendance .</t>
        </r>
      </text>
    </comment>
  </commentList>
</comments>
</file>

<file path=xl/comments5.xml><?xml version="1.0" encoding="utf-8"?>
<comments xmlns="http://schemas.openxmlformats.org/spreadsheetml/2006/main">
  <authors>
    <author>Martin Barlau</author>
  </authors>
  <commentList>
    <comment ref="F55" authorId="0">
      <text>
        <r>
          <rPr>
            <b/>
            <sz val="9"/>
            <color indexed="8"/>
            <rFont val="Tahoma"/>
            <family val="2"/>
          </rPr>
          <t>Data is copied from cell to the left, until replaced as needed.</t>
        </r>
      </text>
    </comment>
    <comment ref="A63" authorId="0">
      <text>
        <r>
          <rPr>
            <b/>
            <sz val="10"/>
            <color indexed="8"/>
            <rFont val="Tahoma"/>
            <family val="2"/>
          </rPr>
          <t>Not included in JF Budget</t>
        </r>
      </text>
    </comment>
    <comment ref="F60" authorId="0">
      <text>
        <r>
          <rPr>
            <b/>
            <sz val="10"/>
            <color indexed="8"/>
            <rFont val="Tahoma"/>
            <family val="2"/>
          </rPr>
          <t>Data in green cells is copied from cell to the left, until replaced as needed.</t>
        </r>
      </text>
    </comment>
    <comment ref="D47" authorId="0">
      <text>
        <r>
          <rPr>
            <b/>
            <sz val="9"/>
            <rFont val="Tahoma"/>
            <family val="2"/>
          </rPr>
          <t>Calculated @ 50 hrs. per wk. to account for 12 hr. days.</t>
        </r>
      </text>
    </comment>
  </commentList>
</comments>
</file>

<file path=xl/comments6.xml><?xml version="1.0" encoding="utf-8"?>
<comments xmlns="http://schemas.openxmlformats.org/spreadsheetml/2006/main">
  <authors>
    <author>Martin Barlau</author>
  </authors>
  <commentList>
    <comment ref="U9" authorId="0">
      <text>
        <r>
          <rPr>
            <b/>
            <sz val="9"/>
            <color indexed="8"/>
            <rFont val="Tahoma"/>
            <family val="2"/>
          </rPr>
          <t>Enter any number up to 100.</t>
        </r>
      </text>
    </comment>
    <comment ref="F8" authorId="0">
      <text>
        <r>
          <rPr>
            <b/>
            <sz val="9"/>
            <rFont val="Tahoma"/>
            <family val="2"/>
          </rPr>
          <t>From "CC Factors"</t>
        </r>
      </text>
    </comment>
    <comment ref="W12" authorId="0">
      <text>
        <r>
          <rPr>
            <b/>
            <sz val="9"/>
            <rFont val="Tahoma"/>
            <family val="2"/>
          </rPr>
          <t>At the given levels of tuition, and the given enrollment split, tuition income is reduced to this percentage of the full time amount.</t>
        </r>
      </text>
    </comment>
    <comment ref="G8" authorId="0">
      <text>
        <r>
          <rPr>
            <b/>
            <sz val="9"/>
            <rFont val="Tahoma"/>
            <family val="2"/>
          </rPr>
          <t xml:space="preserve">From "CC Factors"
</t>
        </r>
      </text>
    </comment>
    <comment ref="M8" authorId="0">
      <text>
        <r>
          <rPr>
            <b/>
            <sz val="10"/>
            <color indexed="8"/>
            <rFont val="Tahoma"/>
            <family val="2"/>
          </rPr>
          <t>Assumes 35 sq. ft. per child.</t>
        </r>
      </text>
    </comment>
    <comment ref="E8" authorId="0">
      <text>
        <r>
          <rPr>
            <b/>
            <sz val="10"/>
            <rFont val="Tahoma"/>
            <family val="2"/>
          </rPr>
          <t>Derived from projected attendance, end of yr. 2 of OA operation</t>
        </r>
      </text>
    </comment>
  </commentList>
</comments>
</file>

<file path=xl/sharedStrings.xml><?xml version="1.0" encoding="utf-8"?>
<sst xmlns="http://schemas.openxmlformats.org/spreadsheetml/2006/main" count="451" uniqueCount="375">
  <si>
    <t>The Financial Plan</t>
  </si>
  <si>
    <t>To Accompany</t>
  </si>
  <si>
    <t>The Business and Mission Plan</t>
  </si>
  <si>
    <t>No part of this Business and Mission Plan may be reproduced in any form, electronic or otherwise,</t>
  </si>
  <si>
    <t xml:space="preserve">Directions For Use </t>
  </si>
  <si>
    <t>Calculation of Projected Mortgage</t>
  </si>
  <si>
    <t xml:space="preserve">      Childcare Program</t>
  </si>
  <si>
    <t xml:space="preserve"> (Or Systems Development Fee)</t>
  </si>
  <si>
    <t xml:space="preserve">      (Enter mm/dd/yy)</t>
  </si>
  <si>
    <t>Furnishings Costs</t>
  </si>
  <si>
    <t xml:space="preserve">Proposed Interest Rate... </t>
  </si>
  <si>
    <t xml:space="preserve">1st Full </t>
  </si>
  <si>
    <t>Operation</t>
  </si>
  <si>
    <t>Totals</t>
  </si>
  <si>
    <t>FICA (Employer's rate)</t>
  </si>
  <si>
    <t>Total Expenses...</t>
  </si>
  <si>
    <t>Age Level</t>
  </si>
  <si>
    <t>State Max. Group Size</t>
  </si>
  <si>
    <t>NAEYC Max. Group Size</t>
  </si>
  <si>
    <t xml:space="preserve">3 yrs.  </t>
  </si>
  <si>
    <t xml:space="preserve">4 yrs.  </t>
  </si>
  <si>
    <t xml:space="preserve">Kindergartners  </t>
  </si>
  <si>
    <t>Totals...</t>
  </si>
  <si>
    <t>Maximum Licensed Capacity of the Center...</t>
  </si>
  <si>
    <t>Children of Staff Receive a Discount of...</t>
  </si>
  <si>
    <t>Registration Fee...</t>
  </si>
  <si>
    <t>Staff Pay Levels</t>
  </si>
  <si>
    <t>Director (Annual)</t>
  </si>
  <si>
    <t>Ass't Director (Hourly)</t>
  </si>
  <si>
    <t>Teacher/Ldr (Hourly)</t>
  </si>
  <si>
    <t>Cook(s) (Hourly)</t>
  </si>
  <si>
    <t>Maintenance/Janitorial (Hourly)</t>
  </si>
  <si>
    <t>1st Full Mo. of Operation</t>
  </si>
  <si>
    <t xml:space="preserve">  Months are determined by entry in  PROJECTED DATE OF DEDICATION on the "Mortgage Calc" sheet.</t>
  </si>
  <si>
    <t>Total Projected Enrollment...</t>
  </si>
  <si>
    <t>Total Typical Daily Attendance...</t>
  </si>
  <si>
    <t>Director</t>
  </si>
  <si>
    <t>Asst. Director</t>
  </si>
  <si>
    <t>Maintenance/Janitorial</t>
  </si>
  <si>
    <t>Cook</t>
  </si>
  <si>
    <t>Dedication Date...</t>
  </si>
  <si>
    <t>Partial Mo.</t>
  </si>
  <si>
    <t>if any</t>
  </si>
  <si>
    <t>Number of days of operation in Partial Month...</t>
  </si>
  <si>
    <t>PROJECTED INCOME:</t>
  </si>
  <si>
    <t>Reg. Fees</t>
  </si>
  <si>
    <t>for 2nd Yr.</t>
  </si>
  <si>
    <t xml:space="preserve">  Pre-School only - 3s (10 mo.)</t>
  </si>
  <si>
    <t xml:space="preserve">  Pre-School only - 4s (10 mo.)</t>
  </si>
  <si>
    <t xml:space="preserve">  Kindergarten only (10 mo.)</t>
  </si>
  <si>
    <t xml:space="preserve">   FICA (All)</t>
  </si>
  <si>
    <t xml:space="preserve">   Workers' Comp</t>
  </si>
  <si>
    <t>Payroll Sub-Totals...</t>
  </si>
  <si>
    <t>Learning Materials</t>
  </si>
  <si>
    <t>Janitorial Suppl. or Subcontract</t>
  </si>
  <si>
    <t>Repairs and Maintenance</t>
  </si>
  <si>
    <t>Insurance (Childcare Portion)</t>
  </si>
  <si>
    <t>Transportation</t>
  </si>
  <si>
    <t xml:space="preserve">   Van Payments</t>
  </si>
  <si>
    <t xml:space="preserve">   Gas, etc.</t>
  </si>
  <si>
    <t xml:space="preserve">   Service/Maintenance</t>
  </si>
  <si>
    <t>Misc. Expenses</t>
  </si>
  <si>
    <t>Today's Date</t>
  </si>
  <si>
    <t xml:space="preserve">     Or Actual Start of</t>
  </si>
  <si>
    <t>Renovation of Existing Facility...</t>
  </si>
  <si>
    <r>
      <t xml:space="preserve">1st </t>
    </r>
    <r>
      <rPr>
        <b/>
        <u val="single"/>
        <sz val="11"/>
        <rFont val="Arial Narrow"/>
        <family val="2"/>
      </rPr>
      <t>Full Mo.</t>
    </r>
    <r>
      <rPr>
        <b/>
        <sz val="11"/>
        <rFont val="Arial Narrow"/>
        <family val="2"/>
      </rPr>
      <t xml:space="preserve"> of CC Operation Begins...</t>
    </r>
  </si>
  <si>
    <t>Mo. of</t>
  </si>
  <si>
    <t>NAEYC Child/ Tchr. Ratio</t>
  </si>
  <si>
    <t xml:space="preserve"># of Children Present </t>
  </si>
  <si>
    <t>Monthly</t>
  </si>
  <si>
    <t>Class</t>
  </si>
  <si>
    <t>Childcare Only - Room and Staffing Estimates</t>
  </si>
  <si>
    <t>Projected Enrollment - Childcare</t>
  </si>
  <si>
    <t xml:space="preserve"> # of Aides Needed</t>
  </si>
  <si>
    <t xml:space="preserve"> # of Lead Staff Needed</t>
  </si>
  <si>
    <t>Miscellaneous Calculations</t>
  </si>
  <si>
    <t xml:space="preserve"> Assume the same Registration Fee for all levels.</t>
  </si>
  <si>
    <t xml:space="preserve">  It is not refundable.</t>
  </si>
  <si>
    <t>Weekly Childcare Tuition - Full Time</t>
  </si>
  <si>
    <t>Fee Schedules</t>
  </si>
  <si>
    <t>Tuition</t>
  </si>
  <si>
    <t>Tuition - Weekly Childcare FT</t>
  </si>
  <si>
    <t xml:space="preserve">   Ass't Director</t>
  </si>
  <si>
    <t xml:space="preserve">   Director</t>
  </si>
  <si>
    <t xml:space="preserve">   Maintenance / Janitorial</t>
  </si>
  <si>
    <t xml:space="preserve">Benefits Plans Annual Cost </t>
  </si>
  <si>
    <t>Child:Teacher Ratios and Maximum Group Size</t>
  </si>
  <si>
    <t>NAEYC Ratios</t>
  </si>
  <si>
    <t>Infants (6 wks - 12 months)</t>
  </si>
  <si>
    <t>Hrs/ Wk.</t>
  </si>
  <si>
    <t>Full Day Childcare Only</t>
  </si>
  <si>
    <t>Pre-K &amp; Kdg. Part Week Only</t>
  </si>
  <si>
    <t>3 days</t>
  </si>
  <si>
    <t>Total Income</t>
  </si>
  <si>
    <t>Tuition - Pre-K &amp; Kdg. Only</t>
  </si>
  <si>
    <t>FT only</t>
  </si>
  <si>
    <t>Pre-K &amp; K - Part Time</t>
  </si>
  <si>
    <t>Other Income</t>
  </si>
  <si>
    <t>Payroll</t>
  </si>
  <si>
    <t>Tuition Income here is based on</t>
  </si>
  <si>
    <t>throughout the spreadsheet.</t>
  </si>
  <si>
    <t>Levels entered here are repeated automatically</t>
  </si>
  <si>
    <t>Impact on Income from Various Levels of Part-Time Enrollment</t>
  </si>
  <si>
    <t>Full Time</t>
  </si>
  <si>
    <t>Aides</t>
  </si>
  <si>
    <t>Total Pre-K &amp; Kdg. Only Staff...</t>
  </si>
  <si>
    <t>Secretary/Receptionist</t>
  </si>
  <si>
    <t>Bookkeeping</t>
  </si>
  <si>
    <t xml:space="preserve">   Bookkeeping</t>
  </si>
  <si>
    <t>FT Non-Teaching Staff</t>
  </si>
  <si>
    <t>1.0 = 8 hrs. or Full Time (FT)</t>
  </si>
  <si>
    <t>Non-Teaching Staff Needed</t>
  </si>
  <si>
    <t>More than .75 requires inclusion in Benefits Plan</t>
  </si>
  <si>
    <t>Inspection/Engineering Costs</t>
  </si>
  <si>
    <t>Construct new facility</t>
  </si>
  <si>
    <t xml:space="preserve"> Abate/ Demolish existing building</t>
  </si>
  <si>
    <t>Landscaping</t>
  </si>
  <si>
    <t>Signage</t>
  </si>
  <si>
    <t>Architect, Prof. Fees, Permits, Etc</t>
  </si>
  <si>
    <t>Other Costs To Closing on Permanent Loan</t>
  </si>
  <si>
    <t>NAEYC data is presented for comparison purposes.  Enter TOTAL enrollment expected at each age level to show rooms that will be needed.</t>
  </si>
  <si>
    <t>This chart may be used to estimate room and staffing needs at various enrollment levels.  Only the "State Child/Tchr. Ratios" column is used in calculations.</t>
  </si>
  <si>
    <t>Min-imum Sq. Ft. per Rm.</t>
  </si>
  <si>
    <t>Total Sq. Ft. Needed.</t>
  </si>
  <si>
    <t>Worship area</t>
  </si>
  <si>
    <t>Narthex/Lobby</t>
  </si>
  <si>
    <t>Rest Rooms</t>
  </si>
  <si>
    <t>Total Sq. Ft. Needed</t>
  </si>
  <si>
    <t>Office Supplies</t>
  </si>
  <si>
    <t>PR &amp; Marketing</t>
  </si>
  <si>
    <t>Sub-Total Furnishings</t>
  </si>
  <si>
    <t>Site Purchase and Development Costs</t>
  </si>
  <si>
    <t>Facility Construction Costs</t>
  </si>
  <si>
    <t>Sub-Total Facility Construction Costs</t>
  </si>
  <si>
    <t>Needed for possible overrun and to cover 10% holdback from LCEF</t>
  </si>
  <si>
    <t>Enter proj. enrollment after 2 yrs.</t>
  </si>
  <si>
    <t>In this section, include ALL full time AND part time CHILDCARE enrollees EXCEPT Preschool-only or Kindergarten-only enrollees.</t>
  </si>
  <si>
    <t>Projected  Childcare ATTENDANCE on  a  Typical  Day</t>
  </si>
  <si>
    <t>In the GREEN COLUMNS, enter the projected enrollment, as may be calculated based on the Market Research Study.  The program will calculate the ramp up from one to the other.</t>
  </si>
  <si>
    <t>Enter % of children projected to be enrolled full time.</t>
  </si>
  <si>
    <t>Do not include summer camp or other part-year programs.</t>
  </si>
  <si>
    <t>Enter staff numbers manually for month prior to opening.</t>
  </si>
  <si>
    <t>Include children enrolled only for part-week Preschool or half-day Kindergarten and NOT needing extended care</t>
  </si>
  <si>
    <t>Classroom Staff Needed on Site, based on "Projected Enrollment - Pre-K &amp; Kdg. Only" above.</t>
  </si>
  <si>
    <t>Classroom Staff Needed on Site, based on "Projected Childcare Attendance" above.</t>
  </si>
  <si>
    <r>
      <t>Projected Enrollment -</t>
    </r>
    <r>
      <rPr>
        <b/>
        <u val="single"/>
        <sz val="14"/>
        <rFont val="Arial Narrow"/>
        <family val="2"/>
      </rPr>
      <t xml:space="preserve"> Pre-K &amp; Kdg. Part Week Only</t>
    </r>
  </si>
  <si>
    <t>(Federal law requires uniformity here among ALL staff.)</t>
  </si>
  <si>
    <t>Staffing calculations assume half-day sessions.  Therefore, a double group may be served by a single caregiver, since the group may be split between two sessions.</t>
  </si>
  <si>
    <t>Enter projected enrollment after 1 year.</t>
  </si>
  <si>
    <t>For staffing purposes only.  Does not change tuition income.</t>
  </si>
  <si>
    <t xml:space="preserve">Total Part-Time Enrolled  </t>
  </si>
  <si>
    <t xml:space="preserve">  Months are determined by entry in  PROJECTED DATE OF DEDICATION</t>
  </si>
  <si>
    <t xml:space="preserve"> on the "Mortgage Calc" sheet.</t>
  </si>
  <si>
    <t xml:space="preserve"> The calculations below are based on projected enrollment, tuitions, and staffing entries on "CC Factors" sheet.</t>
  </si>
  <si>
    <t>Professional Fees/Training</t>
  </si>
  <si>
    <t>Room Storage/ Toilet      Sq. Ft.</t>
  </si>
  <si>
    <t>Overview</t>
  </si>
  <si>
    <t>Renovation/Remodeling</t>
  </si>
  <si>
    <t>Site Purchase/Development</t>
  </si>
  <si>
    <t>Facility Construction</t>
  </si>
  <si>
    <t>Furnishings</t>
  </si>
  <si>
    <t>Other Costs</t>
  </si>
  <si>
    <t>Contingency</t>
  </si>
  <si>
    <t>Startup Operating Deficit</t>
  </si>
  <si>
    <t>Pre-existing/Other Debt</t>
  </si>
  <si>
    <t>Mortgage Gross</t>
  </si>
  <si>
    <t>Renovation of Existing Facility</t>
  </si>
  <si>
    <t>Net Mtge at Closing</t>
  </si>
  <si>
    <t>Interest Rate</t>
  </si>
  <si>
    <t>Monthly Mtge Pymnt</t>
  </si>
  <si>
    <t>Years</t>
  </si>
  <si>
    <t>Yr. Ending</t>
  </si>
  <si>
    <t>Equipment &amp; Supplies</t>
  </si>
  <si>
    <t>Marketing &amp; Miscellaneous</t>
  </si>
  <si>
    <t>Check on Totals</t>
  </si>
  <si>
    <t xml:space="preserve">End 1st yr. of </t>
  </si>
  <si>
    <t>Kitchen Supplies/Equipment</t>
  </si>
  <si>
    <t>Food</t>
  </si>
  <si>
    <t>Office &amp; Classrm Equipment</t>
  </si>
  <si>
    <t>Learning Materials per Child per Month</t>
  </si>
  <si>
    <t>Monthly Operating Balance</t>
  </si>
  <si>
    <t xml:space="preserve"> Total Income... </t>
  </si>
  <si>
    <t>Ass't Director</t>
  </si>
  <si>
    <t>Teachers / Leaders</t>
  </si>
  <si>
    <t>Cooks</t>
  </si>
  <si>
    <t>Maintenance / Janitorial</t>
  </si>
  <si>
    <t>Conc. Plans (Over 30 hrs/wk)</t>
  </si>
  <si>
    <t>FICA (All)</t>
  </si>
  <si>
    <t>Workers' Comp</t>
  </si>
  <si>
    <t>Cumulative Oper. Bal.</t>
  </si>
  <si>
    <t xml:space="preserve"> #  Rooms for Double Group</t>
  </si>
  <si>
    <t>Offices &amp; Staff Wkrm.</t>
  </si>
  <si>
    <t>Worship space for how many?</t>
  </si>
  <si>
    <t>Registration / Materials Fees</t>
  </si>
  <si>
    <t>Facility Costs</t>
  </si>
  <si>
    <t>Van Insurance</t>
  </si>
  <si>
    <t>Equipmnt-Supplies-Insurance</t>
  </si>
  <si>
    <t>Do not enter amounts on this sheet.  This is a summary, gathered from all the other sheets.                                                                                                          Make all entries on those sheets only.</t>
  </si>
  <si>
    <t>Kitchen Equipment</t>
  </si>
  <si>
    <t xml:space="preserve">Janitorial Service and Supplies </t>
  </si>
  <si>
    <t>Capital Campaign</t>
  </si>
  <si>
    <t>Gifts or Other Income</t>
  </si>
  <si>
    <t>Tuition - Extended Care</t>
  </si>
  <si>
    <t>Before/After Sch. ONLY</t>
  </si>
  <si>
    <t>Both</t>
  </si>
  <si>
    <t>Extended Care</t>
  </si>
  <si>
    <t>Projected Enrollment</t>
  </si>
  <si>
    <t xml:space="preserve">Total Extended Care Enrolled  </t>
  </si>
  <si>
    <t>Total</t>
  </si>
  <si>
    <t>Classroom Staff Needed on Site, based on Projected Enrollment - "Extended Care" above.</t>
  </si>
  <si>
    <t>Tot. Extended Care Staff</t>
  </si>
  <si>
    <t>Combined Enrollment, &amp; Classroom Staff Needed on Site, Childcare, Part Week Pre-K and Kdg., and Extended Care</t>
  </si>
  <si>
    <t>Grand Total Enrollment</t>
  </si>
  <si>
    <t>Sprinkler and security</t>
  </si>
  <si>
    <t>Results are based on the following assumptions:</t>
  </si>
  <si>
    <t>2.  All costs of property acquisition, site development, and construction are included in this business plan.</t>
  </si>
  <si>
    <t xml:space="preserve">     mentoring and monitoring of the management of the center, together with other services, to achieve and maintain the highest levels of quality childcare and</t>
  </si>
  <si>
    <t xml:space="preserve">     efficient operation, as provided by the Agreement.</t>
  </si>
  <si>
    <t>Capital Campaign and Other Income</t>
  </si>
  <si>
    <t>Column sub-total</t>
  </si>
  <si>
    <t xml:space="preserve">    Amortized over ? yrs.</t>
  </si>
  <si>
    <t>CC Operation</t>
  </si>
  <si>
    <t>Site Purchase</t>
  </si>
  <si>
    <t>Estimated Monthly Mortgage Payment...</t>
  </si>
  <si>
    <t>Include Director and any other CC employees on "CC Budget" for any prior months.</t>
  </si>
  <si>
    <t>Installed Classrm Fixtures &amp; Equipment</t>
  </si>
  <si>
    <t>Chancel Furniture</t>
  </si>
  <si>
    <t>Playground Equipment/Surfacing</t>
  </si>
  <si>
    <t>Maintenance Equipment, etc.</t>
  </si>
  <si>
    <t>Enter Percent Contingency</t>
  </si>
  <si>
    <t>Add other current or projected indebtedness</t>
  </si>
  <si>
    <t>Enter 0, then value at right if greater than 0</t>
  </si>
  <si>
    <t xml:space="preserve">Projected Mortgage at Closing $ </t>
  </si>
  <si>
    <t>Sub-Total Other Costs</t>
  </si>
  <si>
    <t>Sub-total Site, Facility &amp; Furnishings $</t>
  </si>
  <si>
    <t>Gross Total Site, Facility &amp; Furnishings $</t>
  </si>
  <si>
    <t>Kitchen Equipment Replacement</t>
  </si>
  <si>
    <t>Food &amp; Supplies</t>
  </si>
  <si>
    <t>Utilities (Not pd w/construction loan)</t>
  </si>
  <si>
    <t>Tuition Income here is based on 100% of the Pre-K &amp; Kdg. "Enrollment," and on the Pre-K &amp; Kdg. "Monthly Tuition" entered in "CC Factors."</t>
  </si>
  <si>
    <t xml:space="preserve">   Teachers / Leaders (Full Time)</t>
  </si>
  <si>
    <t xml:space="preserve">Rate Yr. 1 = </t>
  </si>
  <si>
    <t>of Tuition Receipts</t>
  </si>
  <si>
    <t>(Based on Gross Tuition Income)</t>
  </si>
  <si>
    <t>Total Tuition Income</t>
  </si>
  <si>
    <t xml:space="preserve"> Registration Fees are based on net increase in total enrollment, beginning on anniversary of opening.  Actual will be greater, due to some turnover.</t>
  </si>
  <si>
    <t>Cumulative Balance to Date</t>
  </si>
  <si>
    <t>To Date</t>
  </si>
  <si>
    <t>Totals to Date</t>
  </si>
  <si>
    <t>12 Month Totals</t>
  </si>
  <si>
    <t>Tuition Income for "Before-" or "After Sch. Only" is based on 60% of the tuition for both on "CC Factors" sheet.</t>
  </si>
  <si>
    <t xml:space="preserve"> Proj. Date of Dedication</t>
  </si>
  <si>
    <t xml:space="preserve">    Total Income </t>
  </si>
  <si>
    <t>Purchase of Oil Change Facility included in B12.</t>
  </si>
  <si>
    <t>Sub-Total Site Purchase &amp; Development Costs</t>
  </si>
  <si>
    <t>Construction Loan Interest to Closing</t>
  </si>
  <si>
    <t>Capital Campaign Recap</t>
  </si>
  <si>
    <t>(Construction loan included on "Mortgage Calc" sheet)</t>
  </si>
  <si>
    <t>Calculation of Projected Mortgage on Permanent Loan</t>
  </si>
  <si>
    <t>Total Pledges</t>
  </si>
  <si>
    <t>Deductions From Permanent Loan</t>
  </si>
  <si>
    <t>Actual/Projected Income</t>
  </si>
  <si>
    <t>Utilities</t>
  </si>
  <si>
    <t>Mortgage/Lease Payments</t>
  </si>
  <si>
    <t>Rate Yr. 2 =</t>
  </si>
  <si>
    <t>(Projected maximum "CC Budget" Oper. Deficit)</t>
  </si>
  <si>
    <t>Source of Revenue</t>
  </si>
  <si>
    <t>Use of Revenue</t>
  </si>
  <si>
    <t>Accrued Interest on Site Purchase</t>
  </si>
  <si>
    <t>Interest Rate on Loan to Purchase</t>
  </si>
  <si>
    <t>Months from Purchase to Closing</t>
  </si>
  <si>
    <t>End of yr. 2</t>
  </si>
  <si>
    <t>Kitchen &amp; Food Storage</t>
  </si>
  <si>
    <t>Common Storage</t>
  </si>
  <si>
    <t>% Enrolled Pt. Time</t>
  </si>
  <si>
    <t>Typical Tuition Level</t>
  </si>
  <si>
    <t>Enrolled Full Time</t>
  </si>
  <si>
    <t>Total Income, Full Time</t>
  </si>
  <si>
    <t>Used to determine the preferred entry on "CC Factors" G36.</t>
  </si>
  <si>
    <t>for 3rd Yr.</t>
  </si>
  <si>
    <t>6 Mo. Bal.</t>
  </si>
  <si>
    <t>Yr. 1 Bal.</t>
  </si>
  <si>
    <t>Yr. 2 Bal.</t>
  </si>
  <si>
    <t>Yr. 3 Bal.</t>
  </si>
  <si>
    <t>Column Sub-Total</t>
  </si>
  <si>
    <t>Rate Yr. 3 ff. =</t>
  </si>
  <si>
    <t>Asst. Tchrs.(Under 30 Hrs./Wk.)</t>
  </si>
  <si>
    <t>Hour</t>
  </si>
  <si>
    <t>Lead Tchr Needed</t>
  </si>
  <si>
    <t>Asst. Tchr. Needed</t>
  </si>
  <si>
    <t>Ratio</t>
  </si>
  <si>
    <t>Infant</t>
  </si>
  <si>
    <t>Children Present Rm A</t>
  </si>
  <si>
    <t>Children Present  Rm B</t>
  </si>
  <si>
    <t>3s</t>
  </si>
  <si>
    <t>Tot. Tchr. Hrs.</t>
  </si>
  <si>
    <t>Check</t>
  </si>
  <si>
    <t>Ave. hr. per Tchr.</t>
  </si>
  <si>
    <t>Hrs. per Wk.</t>
  </si>
  <si>
    <r>
      <t xml:space="preserve">Conclusion:  In calculating payroll on </t>
    </r>
    <r>
      <rPr>
        <b/>
        <sz val="11"/>
        <color indexed="8"/>
        <rFont val="Arial Narrow"/>
        <family val="2"/>
      </rPr>
      <t>CC Budget,</t>
    </r>
    <r>
      <rPr>
        <sz val="11"/>
        <color indexed="8"/>
        <rFont val="Arial Narrow"/>
        <family val="2"/>
      </rPr>
      <t xml:space="preserve"> Lead Tchr. Hrs are set at 50 per wk.  Asst. Tchr. Hrs are set at 40 hrs. per wk.</t>
    </r>
  </si>
  <si>
    <t>Center Ratios</t>
  </si>
  <si>
    <t>Enter proj. enrollment after 3 yrs.</t>
  </si>
  <si>
    <t>Total Lead Teachers Needed</t>
  </si>
  <si>
    <t>Total Asst. Teachers Needed</t>
  </si>
  <si>
    <t>Cntr. Cap.</t>
  </si>
  <si>
    <t>Part Time Non-Tchng Staff</t>
  </si>
  <si>
    <t>of the "Enrollment" and the "Weekly Childcare Tuition-Full Time" entered in "CC Factors" to allow for vacancies due to part time enrollees.</t>
  </si>
  <si>
    <t>Benefits (Over 30 hrs/wk)</t>
  </si>
  <si>
    <t>Asst. Tchrs. (Hourly)</t>
  </si>
  <si>
    <t>State Children per Tchr.</t>
  </si>
  <si>
    <t>Center Children per Tchr.</t>
  </si>
  <si>
    <t>Cntr Ratios</t>
  </si>
  <si>
    <t>Not included in "Pledges"</t>
  </si>
  <si>
    <t>Remaining Pledges</t>
  </si>
  <si>
    <t>Approx. Monthly Receipts, 1/1/08 to 6/2/09</t>
  </si>
  <si>
    <t>Approx. Amt. available from Capital Campaign by Closing</t>
  </si>
  <si>
    <t>No. of Mo., 6/2/09 to 9/30/10</t>
  </si>
  <si>
    <t>Approx. Total available at closing to reduce mortgage</t>
  </si>
  <si>
    <t>Proj. additional pledges available by Closing on Permanent Loan</t>
  </si>
  <si>
    <t>Or applied to "Site Purchase" and other expenses above</t>
  </si>
  <si>
    <t>Remaining pledges</t>
  </si>
  <si>
    <r>
      <t xml:space="preserve">Monthly amount included in </t>
    </r>
    <r>
      <rPr>
        <b/>
        <sz val="11"/>
        <color indexed="8"/>
        <rFont val="Arial Narrow"/>
        <family val="2"/>
      </rPr>
      <t>Income</t>
    </r>
    <r>
      <rPr>
        <sz val="11"/>
        <color indexed="8"/>
        <rFont val="Arial Narrow"/>
        <family val="2"/>
      </rPr>
      <t xml:space="preserve"> on </t>
    </r>
    <r>
      <rPr>
        <b/>
        <sz val="11"/>
        <color indexed="8"/>
        <rFont val="Arial Narrow"/>
        <family val="2"/>
      </rPr>
      <t>CC Budget</t>
    </r>
  </si>
  <si>
    <t>Proj. remaining receipts</t>
  </si>
  <si>
    <t>per month</t>
  </si>
  <si>
    <t>Months</t>
  </si>
  <si>
    <t>Estimated remaining pledge receipts, after closing.</t>
  </si>
  <si>
    <t>EARLY LEARNING CONSULTATION SERVICES,LLC</t>
  </si>
  <si>
    <t>Providing Support to Child Care Centers Nationwide</t>
  </si>
  <si>
    <t xml:space="preserve"> without the written authorization of Early Learning Consultation Services, LLC or the organziation for whom it is created.</t>
  </si>
  <si>
    <t>ELCS Agreement Startup Fee</t>
  </si>
  <si>
    <t>Projected Date of Start</t>
  </si>
  <si>
    <t>ELCS Management  Agreement</t>
  </si>
  <si>
    <t>1.  The center is the sole entity included in these business plan calculations.</t>
  </si>
  <si>
    <t>3.  All proceeds from the Capital Campaign will be applied toward the costs of providing the facility and conducting the program.</t>
  </si>
  <si>
    <t>5.  The center will be responsible for the monthly mortgage payments on the loan.</t>
  </si>
  <si>
    <t>6.  The Center and ELCS willl engage in a Partnership Agreement whereby ELCS will provide regular</t>
  </si>
  <si>
    <t>Childcare - Key Factors</t>
  </si>
  <si>
    <t>Year 2 of Operation</t>
  </si>
  <si>
    <t>Year 3 of Operation</t>
  </si>
  <si>
    <t>Insurance  (liability only)</t>
  </si>
  <si>
    <t>ELCS Management Support Aggreement</t>
  </si>
  <si>
    <t>ELCS Management Support Agreement</t>
  </si>
  <si>
    <t xml:space="preserve">Projected Outflows </t>
  </si>
  <si>
    <t>A Business and Mission Plan</t>
  </si>
  <si>
    <t>Child Development Center</t>
  </si>
  <si>
    <t>Operating Budget</t>
  </si>
  <si>
    <t xml:space="preserve">Typical Staff Hrs. per room </t>
  </si>
  <si>
    <t>Pledges Rec'd As of Date</t>
  </si>
  <si>
    <t>Miscellaneous Receipts As of Date</t>
  </si>
  <si>
    <t>Clearing</t>
  </si>
  <si>
    <t>Drainage</t>
  </si>
  <si>
    <t>Parking Lot</t>
  </si>
  <si>
    <t>Basic A/E Fees</t>
  </si>
  <si>
    <t>Summer Camp</t>
  </si>
  <si>
    <t>30</t>
  </si>
  <si>
    <t>Net Income</t>
  </si>
  <si>
    <t>Monthly Net Income</t>
  </si>
  <si>
    <t>Monthly Balances (Net Income)</t>
  </si>
  <si>
    <t>Closing Costs</t>
  </si>
  <si>
    <t xml:space="preserve">   Floater</t>
  </si>
  <si>
    <t>Cabinetry</t>
  </si>
  <si>
    <t>Office Furnishings</t>
  </si>
  <si>
    <t>6010 Clearwater Drive</t>
  </si>
  <si>
    <t>Slidell, LA 70460</t>
  </si>
  <si>
    <t>PHONE: 913.940.6164</t>
  </si>
  <si>
    <t>Email: shelta@earlylearningconsultationservicesllc.com</t>
  </si>
  <si>
    <t>Toddlers (12mo-24mo)</t>
  </si>
  <si>
    <t>3's Classroom</t>
  </si>
  <si>
    <t>Toddlers (24mo to 36 mo)</t>
  </si>
  <si>
    <t>4's Clssroom</t>
  </si>
  <si>
    <t>Before/After Care</t>
  </si>
  <si>
    <t>2-3 yrs</t>
  </si>
  <si>
    <t xml:space="preserve">Pre-K    </t>
  </si>
  <si>
    <t>Floater/Specialist (Hourly)</t>
  </si>
  <si>
    <t>Floater/Specialist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</si>
</sst>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_)"/>
    <numFmt numFmtId="173" formatCode="0.00_)"/>
    <numFmt numFmtId="174" formatCode="mmm\-yy_)"/>
    <numFmt numFmtId="175" formatCode="0.0_)"/>
    <numFmt numFmtId="176" formatCode="#,##0.0_);\(#,##0.0\)"/>
    <numFmt numFmtId="177" formatCode="0_)"/>
    <numFmt numFmtId="178" formatCode="mm/dd/yy"/>
    <numFmt numFmtId="179" formatCode="&quot;Yes&quot;;&quot;Yes&quot;;&quot;No&quot;"/>
    <numFmt numFmtId="180" formatCode="&quot;True&quot;;&quot;True&quot;;&quot;False&quot;"/>
    <numFmt numFmtId="181" formatCode="&quot;On&quot;;&quot;On&quot;;&quot;Off&quot;"/>
    <numFmt numFmtId="182" formatCode="[$€-2]\ #,##0.00_);[Red]\([$€-2]\ #,##0.00\)"/>
    <numFmt numFmtId="183" formatCode="0.0000"/>
    <numFmt numFmtId="184" formatCode="#,##0.0_);[Red]\(#,##0.0\)"/>
    <numFmt numFmtId="185" formatCode="0_);[Red]\(0\)"/>
    <numFmt numFmtId="186" formatCode="0.0"/>
    <numFmt numFmtId="187" formatCode="[$-409]dddd\,\ mmmm\ dd\,\ yyyy"/>
    <numFmt numFmtId="188" formatCode="[$-409]mmm\-yy;@"/>
    <numFmt numFmtId="189" formatCode="#,##0.000_);[Red]\(#,##0.000\)"/>
    <numFmt numFmtId="190" formatCode="#,##0.000_);\(#,##0.000\)"/>
    <numFmt numFmtId="191" formatCode="#,##0.0000_);\(#,##0.0000\)"/>
    <numFmt numFmtId="192" formatCode="mmm\-yyyy\)"/>
    <numFmt numFmtId="193" formatCode="mmm\-yyyy"/>
    <numFmt numFmtId="194" formatCode="mm/dd/yyyy"/>
    <numFmt numFmtId="195" formatCode="0.00_);[Red]\(0.00\)"/>
    <numFmt numFmtId="196" formatCode="0.000%"/>
    <numFmt numFmtId="197" formatCode="&quot;$&quot;#,##0.00"/>
    <numFmt numFmtId="198" formatCode="#,##0.0000_);[Red]\(#,##0.0000\)"/>
    <numFmt numFmtId="199" formatCode="#,##0.0000000_);[Red]\(#,##0.0000000\)"/>
    <numFmt numFmtId="200" formatCode="[$-409]mmmm\-yy;@"/>
    <numFmt numFmtId="201" formatCode="[$-409]d\-mmm\-yy;@"/>
  </numFmts>
  <fonts count="103">
    <font>
      <sz val="11"/>
      <color indexed="8"/>
      <name val="Arial Narrow"/>
      <family val="2"/>
    </font>
    <font>
      <sz val="10"/>
      <name val="Arial"/>
      <family val="0"/>
    </font>
    <font>
      <b/>
      <sz val="12"/>
      <name val="Arial"/>
      <family val="2"/>
    </font>
    <font>
      <sz val="11"/>
      <name val="Arial"/>
      <family val="2"/>
    </font>
    <font>
      <b/>
      <sz val="12"/>
      <name val="Times New Roman"/>
      <family val="1"/>
    </font>
    <font>
      <b/>
      <sz val="24"/>
      <name val="Arial"/>
      <family val="2"/>
    </font>
    <font>
      <sz val="14"/>
      <name val="Arial"/>
      <family val="2"/>
    </font>
    <font>
      <b/>
      <sz val="18"/>
      <name val="Arial"/>
      <family val="2"/>
    </font>
    <font>
      <sz val="18"/>
      <name val="Arial"/>
      <family val="2"/>
    </font>
    <font>
      <sz val="11"/>
      <name val="Arial Narrow"/>
      <family val="2"/>
    </font>
    <font>
      <b/>
      <sz val="14"/>
      <name val="Arial Narrow"/>
      <family val="2"/>
    </font>
    <font>
      <sz val="12"/>
      <name val="Arial Narrow"/>
      <family val="2"/>
    </font>
    <font>
      <b/>
      <sz val="12"/>
      <name val="Arial Narrow"/>
      <family val="2"/>
    </font>
    <font>
      <b/>
      <sz val="11"/>
      <name val="Arial Narrow"/>
      <family val="2"/>
    </font>
    <font>
      <sz val="10"/>
      <name val="Arial Narrow"/>
      <family val="2"/>
    </font>
    <font>
      <sz val="11"/>
      <color indexed="12"/>
      <name val="Courier"/>
      <family val="3"/>
    </font>
    <font>
      <b/>
      <u val="single"/>
      <sz val="11"/>
      <name val="Arial Narrow"/>
      <family val="2"/>
    </font>
    <font>
      <sz val="11"/>
      <color indexed="12"/>
      <name val="Arial Narrow"/>
      <family val="2"/>
    </font>
    <font>
      <b/>
      <sz val="16"/>
      <name val="Arial Narrow"/>
      <family val="2"/>
    </font>
    <font>
      <b/>
      <sz val="10"/>
      <name val="Arial Narrow"/>
      <family val="2"/>
    </font>
    <font>
      <b/>
      <i/>
      <sz val="12"/>
      <name val="Arial Narrow"/>
      <family val="2"/>
    </font>
    <font>
      <b/>
      <u val="single"/>
      <sz val="12"/>
      <name val="Arial Narrow"/>
      <family val="2"/>
    </font>
    <font>
      <b/>
      <sz val="11"/>
      <color indexed="8"/>
      <name val="Arial Narrow"/>
      <family val="2"/>
    </font>
    <font>
      <b/>
      <sz val="18"/>
      <name val="Arial Narrow"/>
      <family val="2"/>
    </font>
    <font>
      <sz val="10"/>
      <color indexed="12"/>
      <name val="Arial Narrow"/>
      <family val="2"/>
    </font>
    <font>
      <sz val="10"/>
      <color indexed="8"/>
      <name val="Arial Narrow"/>
      <family val="2"/>
    </font>
    <font>
      <b/>
      <sz val="12"/>
      <color indexed="8"/>
      <name val="Arial Narrow"/>
      <family val="2"/>
    </font>
    <font>
      <u val="single"/>
      <sz val="10"/>
      <color indexed="12"/>
      <name val="Arial"/>
      <family val="2"/>
    </font>
    <font>
      <u val="single"/>
      <sz val="10"/>
      <color indexed="36"/>
      <name val="Arial"/>
      <family val="2"/>
    </font>
    <font>
      <b/>
      <sz val="11"/>
      <color indexed="8"/>
      <name val="Arial"/>
      <family val="2"/>
    </font>
    <font>
      <i/>
      <sz val="11"/>
      <name val="Arial Narrow"/>
      <family val="2"/>
    </font>
    <font>
      <b/>
      <sz val="10"/>
      <name val="Arial"/>
      <family val="2"/>
    </font>
    <font>
      <b/>
      <u val="single"/>
      <sz val="14"/>
      <name val="Arial Narrow"/>
      <family val="2"/>
    </font>
    <font>
      <b/>
      <sz val="16"/>
      <color indexed="13"/>
      <name val="Arial Narrow"/>
      <family val="2"/>
    </font>
    <font>
      <sz val="11"/>
      <color indexed="13"/>
      <name val="Arial Narrow"/>
      <family val="2"/>
    </font>
    <font>
      <sz val="11"/>
      <color indexed="12"/>
      <name val="Tahoma"/>
      <family val="2"/>
    </font>
    <font>
      <sz val="11"/>
      <name val="Tahoma"/>
      <family val="2"/>
    </font>
    <font>
      <b/>
      <sz val="14"/>
      <color indexed="8"/>
      <name val="Arial Narrow"/>
      <family val="2"/>
    </font>
    <font>
      <b/>
      <sz val="11"/>
      <name val="Tahoma"/>
      <family val="2"/>
    </font>
    <font>
      <b/>
      <sz val="10"/>
      <name val="Tahoma"/>
      <family val="2"/>
    </font>
    <font>
      <u val="single"/>
      <sz val="10"/>
      <name val="Arial"/>
      <family val="2"/>
    </font>
    <font>
      <b/>
      <sz val="12"/>
      <name val="Tahoma"/>
      <family val="2"/>
    </font>
    <font>
      <b/>
      <sz val="11"/>
      <color indexed="12"/>
      <name val="Tahoma"/>
      <family val="2"/>
    </font>
    <font>
      <b/>
      <sz val="10"/>
      <color indexed="12"/>
      <name val="Arial Narrow"/>
      <family val="2"/>
    </font>
    <font>
      <b/>
      <sz val="9"/>
      <name val="Tahoma"/>
      <family val="2"/>
    </font>
    <font>
      <sz val="10"/>
      <name val="Tahoma"/>
      <family val="2"/>
    </font>
    <font>
      <b/>
      <sz val="14"/>
      <name val="Arial"/>
      <family val="2"/>
    </font>
    <font>
      <sz val="8"/>
      <name val="Arial"/>
      <family val="2"/>
    </font>
    <font>
      <b/>
      <sz val="16"/>
      <name val="Times New Roman"/>
      <family val="1"/>
    </font>
    <font>
      <sz val="11"/>
      <color indexed="18"/>
      <name val="Arial Narrow"/>
      <family val="2"/>
    </font>
    <font>
      <sz val="11"/>
      <color indexed="18"/>
      <name val="Tahoma"/>
      <family val="2"/>
    </font>
    <font>
      <b/>
      <sz val="11"/>
      <name val="Arial"/>
      <family val="2"/>
    </font>
    <font>
      <b/>
      <sz val="11"/>
      <color indexed="18"/>
      <name val="Tahoma"/>
      <family val="2"/>
    </font>
    <font>
      <b/>
      <sz val="11"/>
      <color indexed="18"/>
      <name val="Arial"/>
      <family val="2"/>
    </font>
    <font>
      <sz val="11"/>
      <color indexed="8"/>
      <name val="Tahoma"/>
      <family val="2"/>
    </font>
    <font>
      <b/>
      <sz val="9"/>
      <color indexed="8"/>
      <name val="Tahoma"/>
      <family val="2"/>
    </font>
    <font>
      <b/>
      <sz val="28"/>
      <color indexed="16"/>
      <name val="Times New Roman"/>
      <family val="1"/>
    </font>
    <font>
      <b/>
      <sz val="11"/>
      <color indexed="8"/>
      <name val="Tahoma"/>
      <family val="2"/>
    </font>
    <font>
      <sz val="8"/>
      <name val="Arial Narrow"/>
      <family val="2"/>
    </font>
    <font>
      <b/>
      <sz val="10"/>
      <color indexed="8"/>
      <name val="Tahoma"/>
      <family val="2"/>
    </font>
    <font>
      <sz val="12"/>
      <color indexed="8"/>
      <name val="Arial Narrow"/>
      <family val="2"/>
    </font>
    <font>
      <b/>
      <sz val="10"/>
      <color indexed="8"/>
      <name val="Arial Narrow"/>
      <family val="2"/>
    </font>
    <font>
      <u val="single"/>
      <sz val="11"/>
      <name val="Arial"/>
      <family val="2"/>
    </font>
    <font>
      <b/>
      <sz val="18"/>
      <name val="Times New Roman"/>
      <family val="1"/>
    </font>
    <font>
      <b/>
      <sz val="10"/>
      <color indexed="12"/>
      <name val="Tahoma"/>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1"/>
      <color indexed="9"/>
      <name val="Arial"/>
      <family val="2"/>
    </font>
    <font>
      <sz val="11"/>
      <color indexed="8"/>
      <name val="Arial"/>
      <family val="0"/>
    </font>
    <font>
      <i/>
      <sz val="9"/>
      <color indexed="8"/>
      <name val="Times New Roman"/>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0"/>
      <color theme="1"/>
      <name val="Tahoma"/>
      <family val="2"/>
    </font>
    <font>
      <sz val="11"/>
      <color rgb="FFFF0000"/>
      <name val="Calibri"/>
      <family val="2"/>
    </font>
    <font>
      <b/>
      <sz val="11"/>
      <color theme="0"/>
      <name val="Arial"/>
      <family val="2"/>
    </font>
    <font>
      <b/>
      <sz val="8"/>
      <name val="Arial Narrow"/>
      <family val="2"/>
    </font>
  </fonts>
  <fills count="51">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42"/>
        <bgColor indexed="64"/>
      </patternFill>
    </fill>
    <fill>
      <patternFill patternType="solid">
        <fgColor indexed="43"/>
        <bgColor indexed="64"/>
      </patternFill>
    </fill>
    <fill>
      <patternFill patternType="solid">
        <fgColor indexed="63"/>
        <bgColor indexed="64"/>
      </patternFill>
    </fill>
    <fill>
      <patternFill patternType="solid">
        <fgColor indexed="26"/>
        <bgColor indexed="64"/>
      </patternFill>
    </fill>
    <fill>
      <patternFill patternType="lightUp">
        <fgColor indexed="23"/>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lightUp">
        <fgColor indexed="23"/>
        <bgColor indexed="9"/>
      </patternFill>
    </fill>
    <fill>
      <patternFill patternType="solid">
        <fgColor indexed="22"/>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s>
  <borders count="228">
    <border>
      <left/>
      <right/>
      <top/>
      <bottom/>
      <diagonal/>
    </border>
    <border>
      <left style="thin">
        <color indexed="22"/>
      </left>
      <right style="thin">
        <color indexed="22"/>
      </right>
      <top style="thin">
        <color indexed="22"/>
      </top>
      <bottom style="thin">
        <color indexed="22"/>
      </bottom>
    </border>
    <border>
      <left style="medium">
        <color indexed="8"/>
      </left>
      <right style="medium">
        <color indexed="8"/>
      </right>
      <top style="thin">
        <color indexed="62"/>
      </top>
      <bottom style="thin">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55"/>
      </left>
      <right style="thin">
        <color indexed="8"/>
      </right>
      <top>
        <color indexed="63"/>
      </top>
      <bottom style="thin">
        <color indexed="55"/>
      </bottom>
    </border>
    <border>
      <left style="thin">
        <color indexed="8"/>
      </left>
      <right>
        <color indexed="63"/>
      </right>
      <top>
        <color indexed="63"/>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8"/>
      </bottom>
    </border>
    <border>
      <left style="thin">
        <color indexed="8"/>
      </left>
      <right>
        <color indexed="63"/>
      </right>
      <top style="double">
        <color indexed="8"/>
      </top>
      <bottom style="thin">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color indexed="8"/>
      </left>
      <right style="thin">
        <color indexed="8"/>
      </right>
      <top style="thin">
        <color indexed="8"/>
      </top>
      <bottom>
        <color indexed="63"/>
      </bottom>
    </border>
    <border>
      <left style="thin">
        <color indexed="22"/>
      </left>
      <right style="thin">
        <color indexed="22"/>
      </right>
      <top style="thin">
        <color indexed="22"/>
      </top>
      <bottom style="medium">
        <color indexed="8"/>
      </bottom>
    </border>
    <border>
      <left style="thin">
        <color indexed="8"/>
      </left>
      <right style="thin">
        <color indexed="8"/>
      </right>
      <top style="medium">
        <color indexed="8"/>
      </top>
      <bottom>
        <color indexed="63"/>
      </bottom>
    </border>
    <border>
      <left>
        <color indexed="63"/>
      </left>
      <right style="thin">
        <color indexed="22"/>
      </right>
      <top style="thin">
        <color indexed="22"/>
      </top>
      <bottom style="thin">
        <color indexed="22"/>
      </bottom>
    </border>
    <border>
      <left style="medium">
        <color indexed="23"/>
      </left>
      <right style="thin">
        <color indexed="22"/>
      </right>
      <top style="medium">
        <color indexed="23"/>
      </top>
      <bottom style="thin">
        <color indexed="22"/>
      </bottom>
    </border>
    <border>
      <left style="thin">
        <color indexed="22"/>
      </left>
      <right style="thin">
        <color indexed="22"/>
      </right>
      <top style="medium">
        <color indexed="23"/>
      </top>
      <bottom style="thin">
        <color indexed="22"/>
      </bottom>
    </border>
    <border>
      <left style="thin">
        <color indexed="22"/>
      </left>
      <right style="medium">
        <color indexed="23"/>
      </right>
      <top style="medium">
        <color indexed="23"/>
      </top>
      <bottom style="thin">
        <color indexed="22"/>
      </bottom>
    </border>
    <border>
      <left style="medium">
        <color indexed="23"/>
      </left>
      <right style="thin">
        <color indexed="22"/>
      </right>
      <top style="thin">
        <color indexed="22"/>
      </top>
      <bottom style="thin">
        <color indexed="22"/>
      </bottom>
    </border>
    <border>
      <left style="thin">
        <color indexed="22"/>
      </left>
      <right style="medium">
        <color indexed="23"/>
      </right>
      <top style="thin">
        <color indexed="22"/>
      </top>
      <bottom style="thin">
        <color indexed="22"/>
      </bottom>
    </border>
    <border>
      <left style="medium">
        <color indexed="23"/>
      </left>
      <right>
        <color indexed="63"/>
      </right>
      <top>
        <color indexed="63"/>
      </top>
      <bottom>
        <color indexed="63"/>
      </bottom>
    </border>
    <border>
      <left style="medium">
        <color indexed="23"/>
      </left>
      <right style="thin">
        <color indexed="8"/>
      </right>
      <top style="thin">
        <color indexed="8"/>
      </top>
      <bottom style="thin">
        <color indexed="8"/>
      </bottom>
    </border>
    <border>
      <left style="medium">
        <color indexed="23"/>
      </left>
      <right>
        <color indexed="63"/>
      </right>
      <top style="medium">
        <color indexed="8"/>
      </top>
      <bottom style="thin">
        <color indexed="8"/>
      </bottom>
    </border>
    <border>
      <left style="medium">
        <color indexed="23"/>
      </left>
      <right>
        <color indexed="63"/>
      </right>
      <top style="thin">
        <color indexed="8"/>
      </top>
      <bottom style="thin">
        <color indexed="8"/>
      </bottom>
    </border>
    <border>
      <left style="medium">
        <color indexed="23"/>
      </left>
      <right>
        <color indexed="63"/>
      </right>
      <top style="thin">
        <color indexed="8"/>
      </top>
      <bottom style="medium">
        <color indexed="8"/>
      </bottom>
    </border>
    <border>
      <left style="medium">
        <color indexed="23"/>
      </left>
      <right style="thin">
        <color indexed="22"/>
      </right>
      <top style="thin">
        <color indexed="22"/>
      </top>
      <bottom style="medium">
        <color indexed="23"/>
      </bottom>
    </border>
    <border>
      <left style="thin">
        <color indexed="22"/>
      </left>
      <right style="thin">
        <color indexed="22"/>
      </right>
      <top style="thin">
        <color indexed="22"/>
      </top>
      <bottom style="medium">
        <color indexed="23"/>
      </bottom>
    </border>
    <border>
      <left style="thin">
        <color indexed="22"/>
      </left>
      <right style="medium">
        <color indexed="23"/>
      </right>
      <top style="thin">
        <color indexed="22"/>
      </top>
      <bottom style="medium">
        <color indexed="23"/>
      </bottom>
    </border>
    <border>
      <left>
        <color indexed="63"/>
      </left>
      <right>
        <color indexed="63"/>
      </right>
      <top style="thin">
        <color indexed="22"/>
      </top>
      <bottom style="thin">
        <color indexed="22"/>
      </bottom>
    </border>
    <border>
      <left>
        <color indexed="63"/>
      </left>
      <right style="medium">
        <color indexed="23"/>
      </right>
      <top>
        <color indexed="63"/>
      </top>
      <bottom>
        <color indexed="63"/>
      </bottom>
    </border>
    <border>
      <left>
        <color indexed="63"/>
      </left>
      <right>
        <color indexed="63"/>
      </right>
      <top>
        <color indexed="63"/>
      </top>
      <bottom style="medium">
        <color indexed="23"/>
      </bottom>
    </border>
    <border>
      <left style="thin">
        <color indexed="22"/>
      </left>
      <right style="thin">
        <color indexed="22"/>
      </right>
      <top>
        <color indexed="63"/>
      </top>
      <bottom>
        <color indexed="63"/>
      </bottom>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60"/>
      </left>
      <right>
        <color indexed="63"/>
      </right>
      <top>
        <color indexed="63"/>
      </top>
      <bottom>
        <color indexed="63"/>
      </bottom>
    </border>
    <border>
      <left style="medium">
        <color indexed="60"/>
      </left>
      <right>
        <color indexed="63"/>
      </right>
      <top style="thin">
        <color indexed="8"/>
      </top>
      <bottom style="thin">
        <color indexed="8"/>
      </bottom>
    </border>
    <border>
      <left style="medium">
        <color indexed="60"/>
      </left>
      <right>
        <color indexed="63"/>
      </right>
      <top>
        <color indexed="63"/>
      </top>
      <bottom style="medium">
        <color indexed="8"/>
      </bottom>
    </border>
    <border>
      <left style="medium">
        <color indexed="60"/>
      </left>
      <right>
        <color indexed="63"/>
      </right>
      <top style="thin">
        <color indexed="8"/>
      </top>
      <bottom style="medium">
        <color indexed="60"/>
      </bottom>
    </border>
    <border>
      <left>
        <color indexed="63"/>
      </left>
      <right style="thin">
        <color indexed="8"/>
      </right>
      <top style="thin">
        <color indexed="8"/>
      </top>
      <bottom style="medium">
        <color indexed="60"/>
      </bottom>
    </border>
    <border>
      <left>
        <color indexed="63"/>
      </left>
      <right style="medium">
        <color indexed="60"/>
      </right>
      <top>
        <color indexed="63"/>
      </top>
      <bottom style="medium">
        <color indexed="60"/>
      </bottom>
    </border>
    <border>
      <left style="thin">
        <color indexed="8"/>
      </left>
      <right style="thin">
        <color indexed="8"/>
      </right>
      <top>
        <color indexed="63"/>
      </top>
      <bottom style="thin">
        <color indexed="8"/>
      </bottom>
    </border>
    <border>
      <left style="thin">
        <color indexed="8"/>
      </left>
      <right style="medium">
        <color indexed="60"/>
      </right>
      <top>
        <color indexed="63"/>
      </top>
      <bottom style="thin">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22"/>
      </left>
      <right style="thin">
        <color indexed="22"/>
      </right>
      <top style="medium">
        <color indexed="60"/>
      </top>
      <bottom style="thin">
        <color indexed="22"/>
      </bottom>
    </border>
    <border>
      <left>
        <color indexed="63"/>
      </left>
      <right>
        <color indexed="63"/>
      </right>
      <top>
        <color indexed="63"/>
      </top>
      <bottom style="medium">
        <color indexed="60"/>
      </bottom>
    </border>
    <border>
      <left style="thin">
        <color indexed="22"/>
      </left>
      <right>
        <color indexed="63"/>
      </right>
      <top style="thin">
        <color indexed="22"/>
      </top>
      <bottom style="thin">
        <color indexed="22"/>
      </bottom>
    </border>
    <border>
      <left style="thin">
        <color indexed="8"/>
      </left>
      <right style="medium">
        <color indexed="16"/>
      </right>
      <top>
        <color indexed="63"/>
      </top>
      <bottom style="double">
        <color indexed="8"/>
      </bottom>
    </border>
    <border>
      <left style="medium">
        <color indexed="16"/>
      </left>
      <right style="medium">
        <color indexed="16"/>
      </right>
      <top>
        <color indexed="63"/>
      </top>
      <bottom style="double">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medium">
        <color indexed="10"/>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10"/>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16"/>
      </left>
      <right style="medium">
        <color indexed="16"/>
      </right>
      <top style="double">
        <color indexed="8"/>
      </top>
      <bottom style="thin">
        <color indexed="8"/>
      </bottom>
    </border>
    <border>
      <left style="medium">
        <color indexed="8"/>
      </left>
      <right style="medium">
        <color indexed="8"/>
      </right>
      <top style="double">
        <color indexed="8"/>
      </top>
      <bottom style="thin">
        <color indexed="8"/>
      </bottom>
    </border>
    <border>
      <left style="medium">
        <color indexed="8"/>
      </left>
      <right>
        <color indexed="63"/>
      </right>
      <top style="double">
        <color indexed="8"/>
      </top>
      <bottom style="thin">
        <color indexed="8"/>
      </bottom>
    </border>
    <border>
      <left style="medium">
        <color indexed="16"/>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medium">
        <color indexed="8"/>
      </left>
      <right style="dashed">
        <color indexed="22"/>
      </right>
      <top style="thin">
        <color indexed="8"/>
      </top>
      <bottom style="dashed">
        <color indexed="22"/>
      </bottom>
    </border>
    <border>
      <left style="dashed">
        <color indexed="22"/>
      </left>
      <right style="dashed">
        <color indexed="22"/>
      </right>
      <top style="thin">
        <color indexed="8"/>
      </top>
      <bottom style="dashed">
        <color indexed="22"/>
      </bottom>
    </border>
    <border>
      <left style="dashed">
        <color indexed="22"/>
      </left>
      <right style="thin">
        <color indexed="8"/>
      </right>
      <top style="thin">
        <color indexed="8"/>
      </top>
      <bottom style="dashed">
        <color indexed="22"/>
      </bottom>
    </border>
    <border>
      <left style="medium">
        <color indexed="8"/>
      </left>
      <right style="dashed">
        <color indexed="22"/>
      </right>
      <top style="dashed">
        <color indexed="22"/>
      </top>
      <bottom style="dashed">
        <color indexed="22"/>
      </bottom>
    </border>
    <border>
      <left style="dashed">
        <color indexed="22"/>
      </left>
      <right style="dashed">
        <color indexed="22"/>
      </right>
      <top style="dashed">
        <color indexed="22"/>
      </top>
      <bottom style="dashed">
        <color indexed="22"/>
      </bottom>
    </border>
    <border>
      <left style="dashed">
        <color indexed="22"/>
      </left>
      <right style="thin">
        <color indexed="8"/>
      </right>
      <top style="dashed">
        <color indexed="22"/>
      </top>
      <bottom style="dashed">
        <color indexed="22"/>
      </bottom>
    </border>
    <border>
      <left style="medium">
        <color indexed="8"/>
      </left>
      <right style="dashed">
        <color indexed="22"/>
      </right>
      <top style="dashed">
        <color indexed="22"/>
      </top>
      <bottom style="thin">
        <color indexed="8"/>
      </bottom>
    </border>
    <border>
      <left style="dashed">
        <color indexed="22"/>
      </left>
      <right style="dashed">
        <color indexed="22"/>
      </right>
      <top style="dashed">
        <color indexed="22"/>
      </top>
      <bottom style="thin">
        <color indexed="8"/>
      </bottom>
    </border>
    <border>
      <left style="dashed">
        <color indexed="22"/>
      </left>
      <right style="thin">
        <color indexed="8"/>
      </right>
      <top style="dashed">
        <color indexed="22"/>
      </top>
      <bottom style="thin">
        <color indexed="8"/>
      </bottom>
    </border>
    <border>
      <left style="medium">
        <color indexed="37"/>
      </left>
      <right style="medium">
        <color indexed="37"/>
      </right>
      <top style="double">
        <color indexed="8"/>
      </top>
      <bottom style="thin">
        <color indexed="8"/>
      </bottom>
    </border>
    <border>
      <left style="medium">
        <color indexed="37"/>
      </left>
      <right style="medium">
        <color indexed="37"/>
      </right>
      <top style="thin">
        <color indexed="8"/>
      </top>
      <bottom style="thin">
        <color indexed="8"/>
      </bottom>
    </border>
    <border>
      <left style="medium">
        <color indexed="37"/>
      </left>
      <right style="medium">
        <color indexed="37"/>
      </right>
      <top style="thin">
        <color indexed="8"/>
      </top>
      <bottom style="double">
        <color indexed="8"/>
      </bottom>
    </border>
    <border>
      <left style="medium">
        <color indexed="10"/>
      </left>
      <right style="medium">
        <color indexed="10"/>
      </right>
      <top style="thin">
        <color indexed="8"/>
      </top>
      <bottom style="thin">
        <color indexed="8"/>
      </bottom>
    </border>
    <border>
      <left style="thin">
        <color indexed="8"/>
      </left>
      <right style="medium">
        <color indexed="8"/>
      </right>
      <top style="double">
        <color indexed="8"/>
      </top>
      <bottom style="thin">
        <color indexed="8"/>
      </bottom>
    </border>
    <border>
      <left style="thin">
        <color indexed="22"/>
      </left>
      <right style="medium">
        <color indexed="23"/>
      </right>
      <top style="thin">
        <color indexed="22"/>
      </top>
      <bottom style="medium">
        <color indexed="8"/>
      </bottom>
    </border>
    <border>
      <left style="thin">
        <color indexed="8"/>
      </left>
      <right style="medium">
        <color indexed="23"/>
      </right>
      <top style="thin">
        <color indexed="8"/>
      </top>
      <bottom style="thin">
        <color indexed="8"/>
      </bottom>
    </border>
    <border>
      <left style="thin">
        <color indexed="8"/>
      </left>
      <right style="medium">
        <color indexed="23"/>
      </right>
      <top style="medium">
        <color indexed="8"/>
      </top>
      <bottom style="thin">
        <color indexed="8"/>
      </bottom>
    </border>
    <border>
      <left style="thin">
        <color indexed="22"/>
      </left>
      <right style="thin">
        <color indexed="22"/>
      </right>
      <top style="medium">
        <color indexed="8"/>
      </top>
      <bottom style="thin">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medium">
        <color indexed="10"/>
      </left>
      <right style="medium">
        <color indexed="10"/>
      </right>
      <top style="thin">
        <color indexed="8"/>
      </top>
      <bottom>
        <color indexed="63"/>
      </bottom>
    </border>
    <border>
      <left style="medium">
        <color indexed="10"/>
      </left>
      <right style="medium">
        <color indexed="10"/>
      </right>
      <top>
        <color indexed="63"/>
      </top>
      <bottom style="thin">
        <color indexed="8"/>
      </bottom>
    </border>
    <border>
      <left style="medium">
        <color indexed="8"/>
      </left>
      <right style="thin">
        <color indexed="8"/>
      </right>
      <top style="medium">
        <color indexed="8"/>
      </top>
      <bottom style="thin">
        <color indexed="8"/>
      </bottom>
    </border>
    <border>
      <left style="medium">
        <color indexed="63"/>
      </left>
      <right style="thin">
        <color indexed="22"/>
      </right>
      <top style="thin">
        <color indexed="22"/>
      </top>
      <bottom style="thin">
        <color indexed="22"/>
      </bottom>
    </border>
    <border>
      <left style="medium">
        <color indexed="63"/>
      </left>
      <right style="thin">
        <color indexed="8"/>
      </right>
      <top>
        <color indexed="63"/>
      </top>
      <bottom style="thin">
        <color indexed="55"/>
      </bottom>
    </border>
    <border>
      <left>
        <color indexed="63"/>
      </left>
      <right>
        <color indexed="63"/>
      </right>
      <top>
        <color indexed="63"/>
      </top>
      <bottom style="thin">
        <color indexed="22"/>
      </bottom>
    </border>
    <border>
      <left style="medium">
        <color indexed="63"/>
      </left>
      <right>
        <color indexed="63"/>
      </right>
      <top style="thin">
        <color indexed="22"/>
      </top>
      <bottom style="thin">
        <color indexed="22"/>
      </bottom>
    </border>
    <border>
      <left style="thin">
        <color indexed="63"/>
      </left>
      <right style="thin">
        <color indexed="63"/>
      </right>
      <top style="thin">
        <color indexed="8"/>
      </top>
      <bottom style="thin">
        <color indexed="8"/>
      </bottom>
    </border>
    <border>
      <left style="medium">
        <color indexed="10"/>
      </left>
      <right style="thin">
        <color indexed="63"/>
      </right>
      <top style="thin">
        <color indexed="8"/>
      </top>
      <bottom style="thin">
        <color indexed="8"/>
      </bottom>
    </border>
    <border>
      <left style="medium">
        <color indexed="16"/>
      </left>
      <right style="thin">
        <color indexed="22"/>
      </right>
      <top style="thin">
        <color indexed="22"/>
      </top>
      <bottom style="thin">
        <color indexed="22"/>
      </bottom>
    </border>
    <border>
      <left style="thin">
        <color indexed="8"/>
      </left>
      <right style="medium">
        <color indexed="60"/>
      </right>
      <top>
        <color indexed="63"/>
      </top>
      <bottom>
        <color indexed="63"/>
      </bottom>
    </border>
    <border>
      <left>
        <color indexed="63"/>
      </left>
      <right style="medium">
        <color indexed="60"/>
      </right>
      <top style="thin">
        <color indexed="22"/>
      </top>
      <bottom style="thin">
        <color indexed="22"/>
      </bottom>
    </border>
    <border>
      <left style="thin">
        <color indexed="22"/>
      </left>
      <right style="medium">
        <color indexed="60"/>
      </right>
      <top style="thin">
        <color indexed="22"/>
      </top>
      <bottom style="thin">
        <color indexed="8"/>
      </bottom>
    </border>
    <border>
      <left style="thin">
        <color indexed="22"/>
      </left>
      <right style="medium">
        <color indexed="60"/>
      </right>
      <top style="thin">
        <color indexed="8"/>
      </top>
      <bottom style="thin">
        <color indexed="22"/>
      </bottom>
    </border>
    <border>
      <left style="thin">
        <color indexed="22"/>
      </left>
      <right style="thin">
        <color indexed="22"/>
      </right>
      <top style="thin">
        <color indexed="22"/>
      </top>
      <bottom style="medium">
        <color indexed="60"/>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double">
        <color indexed="8"/>
      </bottom>
    </border>
    <border>
      <left style="thin">
        <color indexed="8"/>
      </left>
      <right style="medium">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medium">
        <color indexed="16"/>
      </right>
      <top>
        <color indexed="63"/>
      </top>
      <bottom>
        <color indexed="63"/>
      </bottom>
    </border>
    <border>
      <left>
        <color indexed="63"/>
      </left>
      <right>
        <color indexed="63"/>
      </right>
      <top>
        <color indexed="63"/>
      </top>
      <bottom style="thin">
        <color indexed="8"/>
      </bottom>
    </border>
    <border>
      <left style="medium">
        <color indexed="16"/>
      </left>
      <right style="thin">
        <color indexed="8"/>
      </right>
      <top style="thin">
        <color indexed="22"/>
      </top>
      <bottom style="double">
        <color indexed="8"/>
      </bottom>
    </border>
    <border>
      <left style="thin">
        <color indexed="8"/>
      </left>
      <right style="thin">
        <color indexed="8"/>
      </right>
      <top style="thin">
        <color indexed="22"/>
      </top>
      <bottom style="double">
        <color indexed="8"/>
      </bottom>
    </border>
    <border>
      <left style="medium">
        <color indexed="16"/>
      </left>
      <right style="medium">
        <color indexed="16"/>
      </right>
      <top style="thin">
        <color indexed="8"/>
      </top>
      <bottom style="thin">
        <color indexed="8"/>
      </bottom>
    </border>
    <border>
      <left style="medium">
        <color indexed="16"/>
      </left>
      <right style="medium">
        <color indexed="16"/>
      </right>
      <top style="thin">
        <color indexed="8"/>
      </top>
      <bottom style="double">
        <color indexed="8"/>
      </bottom>
    </border>
    <border>
      <left style="medium">
        <color indexed="10"/>
      </left>
      <right style="medium">
        <color indexed="10"/>
      </right>
      <top>
        <color indexed="63"/>
      </top>
      <bottom style="double">
        <color indexed="8"/>
      </bottom>
    </border>
    <border>
      <left style="medium">
        <color indexed="8"/>
      </left>
      <right>
        <color indexed="63"/>
      </right>
      <top style="thin">
        <color indexed="8"/>
      </top>
      <bottom style="thin">
        <color indexed="8"/>
      </bottom>
    </border>
    <border>
      <left style="medium">
        <color indexed="10"/>
      </left>
      <right style="medium">
        <color indexed="10"/>
      </right>
      <top>
        <color indexed="63"/>
      </top>
      <bottom>
        <color indexed="63"/>
      </bottom>
    </border>
    <border>
      <left style="medium">
        <color indexed="8"/>
      </left>
      <right>
        <color indexed="63"/>
      </right>
      <top style="thin">
        <color indexed="8"/>
      </top>
      <bottom style="double">
        <color indexed="8"/>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medium">
        <color indexed="63"/>
      </right>
      <top style="thin">
        <color indexed="8"/>
      </top>
      <bottom style="thin">
        <color indexed="8"/>
      </bottom>
    </border>
    <border>
      <left style="thin">
        <color indexed="22"/>
      </left>
      <right style="medium">
        <color indexed="63"/>
      </right>
      <top style="thin">
        <color indexed="22"/>
      </top>
      <bottom style="thin">
        <color indexed="22"/>
      </bottom>
    </border>
    <border>
      <left style="thin">
        <color indexed="22"/>
      </left>
      <right style="medium">
        <color indexed="63"/>
      </right>
      <top style="medium">
        <color indexed="8"/>
      </top>
      <bottom style="thin">
        <color indexed="63"/>
      </bottom>
    </border>
    <border>
      <left style="thin">
        <color indexed="8"/>
      </left>
      <right style="medium">
        <color indexed="63"/>
      </right>
      <top style="thin">
        <color indexed="8"/>
      </top>
      <bottom style="thin">
        <color indexed="8"/>
      </bottom>
    </border>
    <border>
      <left style="medium">
        <color indexed="10"/>
      </left>
      <right style="medium">
        <color indexed="10"/>
      </right>
      <top style="thin">
        <color indexed="22"/>
      </top>
      <bottom>
        <color indexed="63"/>
      </bottom>
    </border>
    <border>
      <left>
        <color indexed="63"/>
      </left>
      <right style="medium">
        <color indexed="63"/>
      </right>
      <top style="thin">
        <color indexed="22"/>
      </top>
      <bottom style="thin">
        <color indexed="22"/>
      </bottom>
    </border>
    <border>
      <left style="medium">
        <color indexed="10"/>
      </left>
      <right style="medium">
        <color indexed="10"/>
      </right>
      <top>
        <color indexed="63"/>
      </top>
      <bottom style="thin">
        <color indexed="22"/>
      </bottom>
    </border>
    <border>
      <left style="thin">
        <color indexed="22"/>
      </left>
      <right>
        <color indexed="63"/>
      </right>
      <top style="thin">
        <color indexed="22"/>
      </top>
      <bottom style="thin">
        <color indexed="8"/>
      </bottom>
    </border>
    <border>
      <left style="medium">
        <color indexed="10"/>
      </left>
      <right style="medium">
        <color indexed="10"/>
      </right>
      <top style="thin">
        <color indexed="22"/>
      </top>
      <bottom style="thin">
        <color indexed="8"/>
      </bottom>
    </border>
    <border>
      <left>
        <color indexed="63"/>
      </left>
      <right style="medium">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style="medium">
        <color indexed="63"/>
      </right>
      <top style="thin">
        <color indexed="8"/>
      </top>
      <bottom style="thin">
        <color indexed="22"/>
      </bottom>
    </border>
    <border>
      <left style="thin">
        <color indexed="8"/>
      </left>
      <right>
        <color indexed="63"/>
      </right>
      <top>
        <color indexed="63"/>
      </top>
      <bottom>
        <color indexed="63"/>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style="medium">
        <color indexed="22"/>
      </right>
      <top style="medium">
        <color indexed="22"/>
      </top>
      <bottom style="thin">
        <color indexed="22"/>
      </bottom>
    </border>
    <border>
      <left style="thin">
        <color indexed="22"/>
      </left>
      <right style="medium">
        <color indexed="22"/>
      </right>
      <top style="thin">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style="thin">
        <color indexed="22"/>
      </left>
      <right style="thin">
        <color indexed="8"/>
      </right>
      <top style="thin">
        <color indexed="8"/>
      </top>
      <bottom style="thin">
        <color indexed="22"/>
      </bottom>
    </border>
    <border>
      <left style="thin">
        <color indexed="22"/>
      </left>
      <right>
        <color indexed="63"/>
      </right>
      <top>
        <color indexed="63"/>
      </top>
      <bottom style="thin">
        <color indexed="22"/>
      </bottom>
    </border>
    <border>
      <left style="thin">
        <color indexed="22"/>
      </left>
      <right style="medium">
        <color indexed="22"/>
      </right>
      <top>
        <color indexed="63"/>
      </top>
      <bottom style="thin">
        <color indexed="22"/>
      </bottom>
    </border>
    <border>
      <left style="medium">
        <color indexed="23"/>
      </left>
      <right>
        <color indexed="63"/>
      </right>
      <top style="medium">
        <color indexed="23"/>
      </top>
      <bottom>
        <color indexed="63"/>
      </bottom>
    </border>
    <border>
      <left>
        <color indexed="63"/>
      </left>
      <right>
        <color indexed="63"/>
      </right>
      <top style="thin">
        <color indexed="8"/>
      </top>
      <bottom style="medium">
        <color indexed="60"/>
      </bottom>
    </border>
    <border>
      <left style="medium">
        <color indexed="23"/>
      </left>
      <right>
        <color indexed="63"/>
      </right>
      <top style="thin">
        <color indexed="22"/>
      </top>
      <bottom style="thin">
        <color indexed="22"/>
      </bottom>
    </border>
    <border>
      <left style="thin">
        <color indexed="55"/>
      </left>
      <right style="thin">
        <color indexed="55"/>
      </right>
      <top>
        <color indexed="63"/>
      </top>
      <bottom style="medium">
        <color indexed="8"/>
      </bottom>
    </border>
    <border>
      <left style="thin">
        <color indexed="55"/>
      </left>
      <right style="thin">
        <color indexed="55"/>
      </right>
      <top style="thin">
        <color indexed="55"/>
      </top>
      <bottom style="thin">
        <color indexed="55"/>
      </bottom>
    </border>
    <border>
      <left style="medium">
        <color indexed="8"/>
      </left>
      <right style="medium">
        <color indexed="8"/>
      </right>
      <top style="thin">
        <color indexed="62"/>
      </top>
      <bottom style="double">
        <color indexed="62"/>
      </bottom>
    </border>
    <border>
      <left style="medium">
        <color indexed="8"/>
      </left>
      <right style="medium">
        <color indexed="8"/>
      </right>
      <top style="thin">
        <color indexed="8"/>
      </top>
      <bottom style="medium">
        <color indexed="22"/>
      </bottom>
    </border>
    <border>
      <left>
        <color indexed="63"/>
      </left>
      <right style="thin">
        <color indexed="8"/>
      </right>
      <top style="thin">
        <color indexed="8"/>
      </top>
      <bottom>
        <color indexed="63"/>
      </bottom>
    </border>
    <border>
      <left style="medium">
        <color indexed="10"/>
      </left>
      <right style="medium">
        <color indexed="10"/>
      </right>
      <top style="thin">
        <color indexed="22"/>
      </top>
      <bottom style="thin">
        <color indexed="22"/>
      </bottom>
    </border>
    <border>
      <left style="medium">
        <color indexed="10"/>
      </left>
      <right style="medium">
        <color indexed="8"/>
      </right>
      <top style="thin">
        <color indexed="8"/>
      </top>
      <bottom style="thin">
        <color indexed="8"/>
      </bottom>
    </border>
    <border>
      <left style="medium">
        <color indexed="8"/>
      </left>
      <right style="medium">
        <color indexed="8"/>
      </right>
      <top>
        <color indexed="63"/>
      </top>
      <bottom style="double">
        <color indexed="62"/>
      </bottom>
    </border>
    <border>
      <left style="medium">
        <color indexed="8"/>
      </left>
      <right>
        <color indexed="63"/>
      </right>
      <top style="thin">
        <color indexed="62"/>
      </top>
      <bottom style="thin">
        <color indexed="8"/>
      </bottom>
    </border>
    <border>
      <left style="medium">
        <color indexed="16"/>
      </left>
      <right style="medium">
        <color indexed="16"/>
      </right>
      <top style="thin">
        <color indexed="8"/>
      </top>
      <bottom>
        <color indexed="63"/>
      </bottom>
    </border>
    <border>
      <left style="medium">
        <color indexed="16"/>
      </left>
      <right style="thin">
        <color indexed="8"/>
      </right>
      <top style="thin">
        <color indexed="8"/>
      </top>
      <bottom>
        <color indexed="63"/>
      </bottom>
    </border>
    <border>
      <left style="medium">
        <color indexed="16"/>
      </left>
      <right style="medium">
        <color indexed="16"/>
      </right>
      <top style="medium">
        <color indexed="8"/>
      </top>
      <bottom style="medium">
        <color indexed="8"/>
      </bottom>
    </border>
    <border>
      <left style="medium">
        <color indexed="16"/>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63"/>
      </left>
      <right style="thin">
        <color indexed="63"/>
      </right>
      <top style="double">
        <color indexed="8"/>
      </top>
      <bottom style="thin">
        <color indexed="8"/>
      </bottom>
    </border>
    <border>
      <left style="medium">
        <color indexed="16"/>
      </left>
      <right style="medium">
        <color indexed="16"/>
      </right>
      <top>
        <color indexed="63"/>
      </top>
      <bottom style="thin">
        <color indexed="8"/>
      </bottom>
    </border>
    <border>
      <left style="thin">
        <color indexed="8"/>
      </left>
      <right style="thin">
        <color indexed="8"/>
      </right>
      <top style="thin">
        <color indexed="8"/>
      </top>
      <bottom style="double">
        <color indexed="63"/>
      </bottom>
    </border>
    <border>
      <left style="medium">
        <color indexed="16"/>
      </left>
      <right style="medium">
        <color indexed="16"/>
      </right>
      <top>
        <color indexed="63"/>
      </top>
      <bottom style="double">
        <color indexed="63"/>
      </bottom>
    </border>
    <border>
      <left style="medium">
        <color indexed="16"/>
      </left>
      <right style="thin">
        <color indexed="8"/>
      </right>
      <top>
        <color indexed="63"/>
      </top>
      <bottom style="double">
        <color indexed="63"/>
      </bottom>
    </border>
    <border>
      <left style="thin">
        <color indexed="8"/>
      </left>
      <right style="thin">
        <color indexed="8"/>
      </right>
      <top>
        <color indexed="63"/>
      </top>
      <bottom style="double">
        <color indexed="63"/>
      </bottom>
    </border>
    <border>
      <left style="thin">
        <color indexed="22"/>
      </left>
      <right style="thin">
        <color indexed="22"/>
      </right>
      <top style="thin">
        <color indexed="22"/>
      </top>
      <bottom style="double">
        <color indexed="63"/>
      </bottom>
    </border>
    <border>
      <left style="thin">
        <color indexed="8"/>
      </left>
      <right style="medium">
        <color indexed="8"/>
      </right>
      <top style="thin">
        <color indexed="22"/>
      </top>
      <bottom style="double">
        <color indexed="8"/>
      </bottom>
    </border>
    <border>
      <left style="medium">
        <color indexed="10"/>
      </left>
      <right style="thin">
        <color indexed="63"/>
      </right>
      <top style="thin">
        <color indexed="22"/>
      </top>
      <bottom style="double">
        <color indexed="8"/>
      </bottom>
    </border>
    <border>
      <left style="thin">
        <color indexed="63"/>
      </left>
      <right style="thin">
        <color indexed="63"/>
      </right>
      <top style="thin">
        <color indexed="22"/>
      </top>
      <bottom style="double">
        <color indexed="8"/>
      </bottom>
    </border>
    <border>
      <left style="thin">
        <color indexed="63"/>
      </left>
      <right style="medium">
        <color indexed="8"/>
      </right>
      <top style="thin">
        <color indexed="22"/>
      </top>
      <bottom style="double">
        <color indexed="8"/>
      </bottom>
    </border>
    <border>
      <left style="medium">
        <color indexed="63"/>
      </left>
      <right>
        <color indexed="63"/>
      </right>
      <top>
        <color indexed="63"/>
      </top>
      <bottom>
        <color indexed="63"/>
      </bottom>
    </border>
    <border>
      <left>
        <color indexed="63"/>
      </left>
      <right style="thin">
        <color indexed="8"/>
      </right>
      <top style="thin">
        <color indexed="8"/>
      </top>
      <bottom style="hair">
        <color indexed="8"/>
      </bottom>
    </border>
    <border>
      <left style="thin">
        <color indexed="22"/>
      </left>
      <right>
        <color indexed="63"/>
      </right>
      <top style="thin">
        <color indexed="22"/>
      </top>
      <bottom style="medium">
        <color indexed="55"/>
      </bottom>
    </border>
    <border>
      <left>
        <color indexed="63"/>
      </left>
      <right>
        <color indexed="63"/>
      </right>
      <top style="thin">
        <color indexed="22"/>
      </top>
      <bottom style="medium">
        <color indexed="55"/>
      </bottom>
    </border>
    <border>
      <left>
        <color indexed="63"/>
      </left>
      <right style="thin">
        <color indexed="22"/>
      </right>
      <top style="thin">
        <color indexed="22"/>
      </top>
      <bottom style="medium">
        <color indexed="55"/>
      </bottom>
    </border>
    <border>
      <left>
        <color indexed="63"/>
      </left>
      <right>
        <color indexed="63"/>
      </right>
      <top style="medium">
        <color indexed="55"/>
      </top>
      <bottom style="medium">
        <color indexed="8"/>
      </bottom>
    </border>
    <border>
      <left>
        <color indexed="63"/>
      </left>
      <right style="thin">
        <color indexed="22"/>
      </right>
      <top style="medium">
        <color indexed="55"/>
      </top>
      <bottom style="medium">
        <color indexed="8"/>
      </bottom>
    </border>
    <border>
      <left style="medium">
        <color indexed="63"/>
      </left>
      <right>
        <color indexed="63"/>
      </right>
      <top style="thin">
        <color indexed="63"/>
      </top>
      <bottom style="thin">
        <color indexed="22"/>
      </bottom>
    </border>
    <border>
      <left>
        <color indexed="63"/>
      </left>
      <right>
        <color indexed="63"/>
      </right>
      <top style="thin">
        <color indexed="63"/>
      </top>
      <bottom style="thin">
        <color indexed="22"/>
      </bottom>
    </border>
    <border>
      <left>
        <color indexed="63"/>
      </left>
      <right style="medium">
        <color indexed="63"/>
      </right>
      <top style="thin">
        <color indexed="63"/>
      </top>
      <bottom style="thin">
        <color indexed="22"/>
      </bottom>
    </border>
    <border>
      <left style="thin">
        <color indexed="8"/>
      </left>
      <right style="thin">
        <color indexed="22"/>
      </right>
      <top style="thin">
        <color indexed="22"/>
      </top>
      <bottom>
        <color indexed="63"/>
      </bottom>
    </border>
    <border>
      <left style="thin">
        <color indexed="8"/>
      </left>
      <right style="thin">
        <color indexed="22"/>
      </right>
      <top>
        <color indexed="63"/>
      </top>
      <bottom style="thin">
        <color indexed="8"/>
      </bottom>
    </border>
    <border>
      <left style="thin">
        <color indexed="8"/>
      </left>
      <right style="thin">
        <color indexed="8"/>
      </right>
      <top style="thin">
        <color indexed="22"/>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style="thin">
        <color indexed="22"/>
      </top>
      <bottom style="medium">
        <color indexed="23"/>
      </bottom>
    </border>
    <border>
      <left>
        <color indexed="63"/>
      </left>
      <right>
        <color indexed="63"/>
      </right>
      <top style="thin">
        <color indexed="22"/>
      </top>
      <bottom style="medium">
        <color indexed="23"/>
      </bottom>
    </border>
    <border>
      <left>
        <color indexed="63"/>
      </left>
      <right style="thin">
        <color indexed="22"/>
      </right>
      <top style="thin">
        <color indexed="22"/>
      </top>
      <bottom style="medium">
        <color indexed="23"/>
      </bottom>
    </border>
    <border>
      <left style="medium">
        <color indexed="16"/>
      </left>
      <right>
        <color indexed="63"/>
      </right>
      <top style="thin">
        <color indexed="8"/>
      </top>
      <bottom style="thin">
        <color indexed="8"/>
      </bottom>
    </border>
    <border>
      <left style="medium">
        <color indexed="16"/>
      </left>
      <right>
        <color indexed="63"/>
      </right>
      <top style="medium">
        <color indexed="8"/>
      </top>
      <bottom style="thin">
        <color indexed="8"/>
      </bottom>
    </border>
    <border>
      <left style="thin">
        <color indexed="55"/>
      </left>
      <right style="thin">
        <color indexed="55"/>
      </right>
      <top>
        <color indexed="63"/>
      </top>
      <bottom>
        <color indexed="63"/>
      </bottom>
    </border>
    <border>
      <left style="thin">
        <color indexed="55"/>
      </left>
      <right style="medium">
        <color indexed="60"/>
      </right>
      <top style="thin">
        <color indexed="22"/>
      </top>
      <bottom>
        <color indexed="63"/>
      </bottom>
    </border>
    <border>
      <left style="thin">
        <color indexed="55"/>
      </left>
      <right style="medium">
        <color indexed="60"/>
      </right>
      <top>
        <color indexed="63"/>
      </top>
      <bottom>
        <color indexed="63"/>
      </bottom>
    </border>
    <border>
      <left style="thin">
        <color indexed="55"/>
      </left>
      <right style="medium">
        <color indexed="60"/>
      </right>
      <top>
        <color indexed="63"/>
      </top>
      <bottom style="thin">
        <color indexed="8"/>
      </bottom>
    </border>
    <border>
      <left style="thin">
        <color indexed="8"/>
      </left>
      <right style="medium">
        <color indexed="16"/>
      </right>
      <top style="thin">
        <color indexed="22"/>
      </top>
      <bottom>
        <color indexed="63"/>
      </bottom>
    </border>
    <border>
      <left style="thin">
        <color indexed="8"/>
      </left>
      <right style="medium">
        <color indexed="16"/>
      </right>
      <top>
        <color indexed="63"/>
      </top>
      <bottom style="thin">
        <color indexed="22"/>
      </bottom>
    </border>
    <border>
      <left style="medium">
        <color indexed="16"/>
      </left>
      <right style="medium">
        <color indexed="16"/>
      </right>
      <top style="medium">
        <color indexed="16"/>
      </top>
      <bottom>
        <color indexed="63"/>
      </bottom>
    </border>
    <border>
      <left style="medium">
        <color indexed="16"/>
      </left>
      <right style="medium">
        <color indexed="16"/>
      </right>
      <top>
        <color indexed="63"/>
      </top>
      <bottom>
        <color indexed="63"/>
      </bottom>
    </border>
  </borders>
  <cellStyleXfs count="83">
    <xf numFmtId="0" fontId="0" fillId="2"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38" fontId="59" fillId="27" borderId="2">
      <alignment/>
      <protection/>
    </xf>
    <xf numFmtId="0" fontId="68" fillId="28" borderId="0" applyNumberFormat="0" applyBorder="0" applyAlignment="0" applyProtection="0"/>
    <xf numFmtId="0" fontId="87" fillId="29" borderId="3" applyNumberFormat="0" applyAlignment="0" applyProtection="0"/>
    <xf numFmtId="0" fontId="88" fillId="3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37" fontId="36" fillId="31" borderId="5">
      <alignment horizontal="right"/>
      <protection/>
    </xf>
    <xf numFmtId="0" fontId="53" fillId="2" borderId="6">
      <alignment/>
      <protection/>
    </xf>
    <xf numFmtId="0" fontId="89" fillId="0" borderId="0" applyNumberFormat="0" applyFill="0" applyBorder="0" applyAlignment="0" applyProtection="0"/>
    <xf numFmtId="0" fontId="28" fillId="0" borderId="0" applyNumberFormat="0" applyFill="0" applyBorder="0" applyAlignment="0" applyProtection="0"/>
    <xf numFmtId="0" fontId="90" fillId="32" borderId="0" applyNumberFormat="0" applyBorder="0" applyAlignment="0" applyProtection="0"/>
    <xf numFmtId="0" fontId="91" fillId="0" borderId="7" applyNumberFormat="0" applyFill="0" applyAlignment="0" applyProtection="0"/>
    <xf numFmtId="0" fontId="92" fillId="0" borderId="8" applyNumberFormat="0" applyFill="0" applyAlignment="0" applyProtection="0"/>
    <xf numFmtId="0" fontId="93" fillId="0" borderId="9" applyNumberFormat="0" applyFill="0" applyAlignment="0" applyProtection="0"/>
    <xf numFmtId="0" fontId="93" fillId="0" borderId="0" applyNumberFormat="0" applyFill="0" applyBorder="0" applyAlignment="0" applyProtection="0"/>
    <xf numFmtId="0" fontId="27" fillId="0" borderId="0" applyNumberFormat="0" applyFill="0" applyBorder="0" applyAlignment="0" applyProtection="0"/>
    <xf numFmtId="0" fontId="2" fillId="33" borderId="0">
      <alignment horizontal="left" vertical="center"/>
      <protection/>
    </xf>
    <xf numFmtId="0" fontId="94" fillId="34" borderId="3" applyNumberFormat="0" applyAlignment="0" applyProtection="0"/>
    <xf numFmtId="0" fontId="1" fillId="0" borderId="5">
      <alignment/>
      <protection/>
    </xf>
    <xf numFmtId="0" fontId="9" fillId="0" borderId="1">
      <alignment horizontal="left"/>
      <protection/>
    </xf>
    <xf numFmtId="0" fontId="0" fillId="2" borderId="10">
      <alignment horizontal="right"/>
      <protection locked="0"/>
    </xf>
    <xf numFmtId="0" fontId="49" fillId="35" borderId="11">
      <alignment horizontal="right"/>
      <protection locked="0"/>
    </xf>
    <xf numFmtId="0" fontId="0" fillId="36" borderId="12" applyBorder="0">
      <alignment/>
      <protection locked="0"/>
    </xf>
    <xf numFmtId="0" fontId="33" fillId="37" borderId="0">
      <alignment/>
      <protection/>
    </xf>
    <xf numFmtId="0" fontId="13" fillId="0" borderId="5">
      <alignment horizontal="center"/>
      <protection/>
    </xf>
    <xf numFmtId="0" fontId="95" fillId="0" borderId="13" applyNumberFormat="0" applyFill="0" applyAlignment="0" applyProtection="0"/>
    <xf numFmtId="37" fontId="45" fillId="31" borderId="5" applyNumberFormat="0">
      <alignment horizontal="right"/>
      <protection/>
    </xf>
    <xf numFmtId="38" fontId="55" fillId="31" borderId="5">
      <alignment/>
      <protection/>
    </xf>
    <xf numFmtId="174" fontId="13" fillId="0" borderId="14">
      <alignment horizontal="center"/>
      <protection/>
    </xf>
    <xf numFmtId="0" fontId="96" fillId="36" borderId="0" applyNumberFormat="0" applyBorder="0" applyAlignment="0" applyProtection="0"/>
    <xf numFmtId="37" fontId="50" fillId="35" borderId="5">
      <alignment horizontal="right"/>
      <protection locked="0"/>
    </xf>
    <xf numFmtId="40" fontId="50" fillId="35" borderId="5">
      <alignment horizontal="right"/>
      <protection locked="0"/>
    </xf>
    <xf numFmtId="37" fontId="50" fillId="35" borderId="5">
      <alignment horizontal="center"/>
      <protection locked="0"/>
    </xf>
    <xf numFmtId="37" fontId="9" fillId="31" borderId="15" applyBorder="0">
      <alignment horizontal="center"/>
      <protection/>
    </xf>
    <xf numFmtId="0" fontId="0" fillId="38" borderId="16" applyNumberFormat="0" applyFont="0" applyAlignment="0" applyProtection="0"/>
    <xf numFmtId="0" fontId="97" fillId="29" borderId="17" applyNumberFormat="0" applyAlignment="0" applyProtection="0"/>
    <xf numFmtId="9" fontId="1" fillId="0" borderId="0" applyFont="0" applyFill="0" applyBorder="0" applyAlignment="0" applyProtection="0"/>
    <xf numFmtId="0" fontId="10" fillId="33" borderId="0">
      <alignment/>
      <protection/>
    </xf>
    <xf numFmtId="0" fontId="98" fillId="0" borderId="0" applyNumberFormat="0" applyFill="0" applyBorder="0" applyAlignment="0" applyProtection="0"/>
    <xf numFmtId="38" fontId="99" fillId="27" borderId="18">
      <alignment vertical="center"/>
      <protection/>
    </xf>
    <xf numFmtId="37" fontId="24" fillId="39" borderId="5">
      <alignment horizontal="center"/>
      <protection/>
    </xf>
    <xf numFmtId="0" fontId="100" fillId="0" borderId="0" applyNumberFormat="0" applyFill="0" applyBorder="0" applyAlignment="0" applyProtection="0"/>
  </cellStyleXfs>
  <cellXfs count="700">
    <xf numFmtId="0" fontId="0" fillId="2" borderId="1" xfId="0" applyAlignment="1">
      <alignment/>
    </xf>
    <xf numFmtId="0" fontId="1" fillId="2" borderId="1" xfId="0" applyFont="1" applyAlignment="1" applyProtection="1">
      <alignment horizontal="centerContinuous"/>
      <protection/>
    </xf>
    <xf numFmtId="0" fontId="2" fillId="2" borderId="1" xfId="0" applyFont="1" applyAlignment="1" applyProtection="1">
      <alignment horizontal="centerContinuous"/>
      <protection/>
    </xf>
    <xf numFmtId="0" fontId="4" fillId="2" borderId="1" xfId="0" applyFont="1" applyAlignment="1" applyProtection="1">
      <alignment horizontal="centerContinuous"/>
      <protection/>
    </xf>
    <xf numFmtId="0" fontId="5" fillId="2" borderId="1" xfId="0" applyFont="1" applyAlignment="1" applyProtection="1">
      <alignment horizontal="centerContinuous"/>
      <protection/>
    </xf>
    <xf numFmtId="0" fontId="6" fillId="2" borderId="1" xfId="0" applyFont="1" applyAlignment="1" applyProtection="1">
      <alignment horizontal="centerContinuous"/>
      <protection/>
    </xf>
    <xf numFmtId="0" fontId="7" fillId="2" borderId="1" xfId="0" applyFont="1" applyAlignment="1" applyProtection="1">
      <alignment horizontal="centerContinuous"/>
      <protection/>
    </xf>
    <xf numFmtId="0" fontId="8" fillId="2" borderId="1" xfId="0" applyFont="1" applyAlignment="1" applyProtection="1">
      <alignment horizontal="centerContinuous"/>
      <protection/>
    </xf>
    <xf numFmtId="0" fontId="13" fillId="2" borderId="19" xfId="0" applyFont="1" applyBorder="1" applyAlignment="1" applyProtection="1">
      <alignment horizontal="center" wrapText="1"/>
      <protection/>
    </xf>
    <xf numFmtId="0" fontId="19" fillId="2" borderId="19" xfId="0" applyFont="1" applyBorder="1" applyAlignment="1" applyProtection="1">
      <alignment horizontal="center" wrapText="1"/>
      <protection/>
    </xf>
    <xf numFmtId="37" fontId="9" fillId="31" borderId="20" xfId="74" applyBorder="1">
      <alignment horizontal="center"/>
      <protection/>
    </xf>
    <xf numFmtId="37" fontId="9" fillId="31" borderId="5" xfId="74" applyBorder="1">
      <alignment horizontal="center"/>
      <protection/>
    </xf>
    <xf numFmtId="37" fontId="9" fillId="31" borderId="21" xfId="74" applyBorder="1">
      <alignment horizontal="center"/>
      <protection/>
    </xf>
    <xf numFmtId="0" fontId="0" fillId="36" borderId="22" xfId="63" applyBorder="1" applyAlignment="1">
      <alignment horizontal="right"/>
      <protection locked="0"/>
    </xf>
    <xf numFmtId="0" fontId="0" fillId="36" borderId="23" xfId="63" applyBorder="1" applyAlignment="1">
      <alignment horizontal="right"/>
      <protection locked="0"/>
    </xf>
    <xf numFmtId="0" fontId="0" fillId="36" borderId="24" xfId="63" applyBorder="1" applyAlignment="1">
      <alignment horizontal="right"/>
      <protection locked="0"/>
    </xf>
    <xf numFmtId="0" fontId="0" fillId="36" borderId="25" xfId="63" applyBorder="1" applyAlignment="1">
      <alignment horizontal="right"/>
      <protection locked="0"/>
    </xf>
    <xf numFmtId="0" fontId="0" fillId="36" borderId="26" xfId="63" applyBorder="1" applyAlignment="1">
      <alignment horizontal="right"/>
      <protection locked="0"/>
    </xf>
    <xf numFmtId="0" fontId="0" fillId="36" borderId="27" xfId="63" applyBorder="1" applyAlignment="1">
      <alignment horizontal="right"/>
      <protection locked="0"/>
    </xf>
    <xf numFmtId="38" fontId="0" fillId="2" borderId="1" xfId="0" applyNumberFormat="1" applyAlignment="1">
      <alignment/>
    </xf>
    <xf numFmtId="0" fontId="0" fillId="2" borderId="28" xfId="0" applyBorder="1" applyAlignment="1">
      <alignment/>
    </xf>
    <xf numFmtId="37" fontId="36" fillId="31" borderId="5" xfId="47" applyBorder="1">
      <alignment horizontal="right"/>
      <protection/>
    </xf>
    <xf numFmtId="0" fontId="0" fillId="2" borderId="29" xfId="0" applyBorder="1" applyAlignment="1">
      <alignment/>
    </xf>
    <xf numFmtId="0" fontId="9" fillId="2" borderId="1" xfId="0" applyFont="1" applyBorder="1" applyAlignment="1" applyProtection="1">
      <alignment/>
      <protection/>
    </xf>
    <xf numFmtId="0" fontId="0" fillId="2" borderId="1" xfId="0" applyBorder="1" applyAlignment="1">
      <alignment/>
    </xf>
    <xf numFmtId="37" fontId="38" fillId="31" borderId="5" xfId="47" applyFont="1" applyBorder="1">
      <alignment horizontal="right"/>
      <protection/>
    </xf>
    <xf numFmtId="37" fontId="36" fillId="31" borderId="30" xfId="47" applyBorder="1" applyAlignment="1">
      <alignment horizontal="center"/>
      <protection/>
    </xf>
    <xf numFmtId="0" fontId="0" fillId="2" borderId="31" xfId="0" applyBorder="1" applyAlignment="1">
      <alignment/>
    </xf>
    <xf numFmtId="37" fontId="38" fillId="31" borderId="20" xfId="47" applyFont="1" applyBorder="1" applyAlignment="1">
      <alignment horizontal="center"/>
      <protection/>
    </xf>
    <xf numFmtId="0" fontId="31" fillId="2" borderId="28" xfId="0" applyFont="1" applyBorder="1" applyAlignment="1">
      <alignment horizontal="right"/>
    </xf>
    <xf numFmtId="0" fontId="9" fillId="2" borderId="32" xfId="0" applyFont="1" applyBorder="1" applyAlignment="1" applyProtection="1">
      <alignment horizontal="center"/>
      <protection/>
    </xf>
    <xf numFmtId="0" fontId="0" fillId="2" borderId="33" xfId="0" applyBorder="1" applyAlignment="1">
      <alignment/>
    </xf>
    <xf numFmtId="38" fontId="0" fillId="2" borderId="33" xfId="0" applyNumberFormat="1" applyBorder="1" applyAlignment="1">
      <alignment/>
    </xf>
    <xf numFmtId="0" fontId="0" fillId="2" borderId="34" xfId="0" applyBorder="1" applyAlignment="1">
      <alignment/>
    </xf>
    <xf numFmtId="0" fontId="0" fillId="2" borderId="35" xfId="0" applyBorder="1" applyAlignment="1">
      <alignment/>
    </xf>
    <xf numFmtId="0" fontId="0" fillId="2" borderId="36" xfId="0" applyBorder="1" applyAlignment="1">
      <alignment/>
    </xf>
    <xf numFmtId="0" fontId="10" fillId="33" borderId="37" xfId="0" applyFont="1" applyFill="1" applyBorder="1" applyAlignment="1" applyProtection="1">
      <alignment/>
      <protection/>
    </xf>
    <xf numFmtId="0" fontId="10" fillId="33" borderId="1" xfId="0" applyFont="1" applyFill="1" applyBorder="1" applyAlignment="1" applyProtection="1">
      <alignment/>
      <protection/>
    </xf>
    <xf numFmtId="0" fontId="9" fillId="2" borderId="1" xfId="0" applyFont="1" applyBorder="1" applyAlignment="1" applyProtection="1">
      <alignment horizontal="center"/>
      <protection/>
    </xf>
    <xf numFmtId="0" fontId="0" fillId="2" borderId="38" xfId="0" applyBorder="1" applyAlignment="1">
      <alignment/>
    </xf>
    <xf numFmtId="0" fontId="0" fillId="2" borderId="39" xfId="63" applyFont="1" applyFill="1" applyBorder="1">
      <alignment/>
      <protection locked="0"/>
    </xf>
    <xf numFmtId="0" fontId="0" fillId="2" borderId="40" xfId="63" applyFont="1" applyFill="1" applyBorder="1">
      <alignment/>
      <protection locked="0"/>
    </xf>
    <xf numFmtId="0" fontId="0" fillId="2" borderId="37" xfId="0" applyBorder="1" applyAlignment="1">
      <alignment/>
    </xf>
    <xf numFmtId="0" fontId="0" fillId="36" borderId="41" xfId="63" applyBorder="1" applyAlignment="1">
      <alignment horizontal="right"/>
      <protection locked="0"/>
    </xf>
    <xf numFmtId="37" fontId="36" fillId="31" borderId="5" xfId="47" applyBorder="1" applyAlignment="1">
      <alignment horizontal="center"/>
      <protection/>
    </xf>
    <xf numFmtId="0" fontId="0" fillId="36" borderId="42" xfId="63" applyBorder="1" applyAlignment="1">
      <alignment horizontal="right"/>
      <protection locked="0"/>
    </xf>
    <xf numFmtId="0" fontId="0" fillId="36" borderId="43" xfId="63" applyBorder="1" applyAlignment="1">
      <alignment horizontal="right"/>
      <protection locked="0"/>
    </xf>
    <xf numFmtId="0" fontId="13" fillId="2" borderId="1" xfId="0" applyFont="1" applyBorder="1" applyAlignment="1" applyProtection="1">
      <alignment horizontal="right"/>
      <protection/>
    </xf>
    <xf numFmtId="0" fontId="31" fillId="2" borderId="1" xfId="0" applyFont="1" applyBorder="1" applyAlignment="1">
      <alignment horizontal="right"/>
    </xf>
    <xf numFmtId="0" fontId="0" fillId="2" borderId="44" xfId="0" applyBorder="1" applyAlignment="1">
      <alignment/>
    </xf>
    <xf numFmtId="0" fontId="0" fillId="2" borderId="45" xfId="0" applyBorder="1" applyAlignment="1">
      <alignment/>
    </xf>
    <xf numFmtId="0" fontId="0" fillId="2" borderId="46" xfId="0" applyBorder="1" applyAlignment="1">
      <alignment/>
    </xf>
    <xf numFmtId="0" fontId="0" fillId="2" borderId="47" xfId="0" applyBorder="1" applyAlignment="1">
      <alignment/>
    </xf>
    <xf numFmtId="0" fontId="41" fillId="33" borderId="39" xfId="57" applyFont="1" applyBorder="1" applyAlignment="1">
      <alignment horizontal="left" vertical="center"/>
      <protection/>
    </xf>
    <xf numFmtId="0" fontId="41" fillId="33" borderId="0" xfId="57" applyFont="1" applyBorder="1" applyAlignment="1">
      <alignment horizontal="left" vertical="center"/>
      <protection/>
    </xf>
    <xf numFmtId="0" fontId="41" fillId="33" borderId="48" xfId="57" applyFont="1" applyBorder="1" applyAlignment="1">
      <alignment horizontal="left" vertical="center"/>
      <protection/>
    </xf>
    <xf numFmtId="0" fontId="31" fillId="2" borderId="37" xfId="0" applyFont="1" applyBorder="1" applyAlignment="1">
      <alignment horizontal="right"/>
    </xf>
    <xf numFmtId="37" fontId="36" fillId="31" borderId="5" xfId="67" applyFont="1" applyBorder="1">
      <alignment horizontal="right"/>
      <protection/>
    </xf>
    <xf numFmtId="38" fontId="0" fillId="0" borderId="0" xfId="43" applyNumberFormat="1" applyFont="1" applyBorder="1" applyAlignment="1">
      <alignment/>
    </xf>
    <xf numFmtId="0" fontId="31" fillId="2" borderId="37" xfId="0" applyFont="1" applyBorder="1" applyAlignment="1">
      <alignment/>
    </xf>
    <xf numFmtId="9" fontId="38" fillId="31" borderId="5" xfId="47" applyNumberFormat="1" applyFont="1" applyBorder="1">
      <alignment horizontal="right"/>
      <protection/>
    </xf>
    <xf numFmtId="38" fontId="0" fillId="0" borderId="49" xfId="43" applyNumberFormat="1" applyFont="1" applyBorder="1" applyAlignment="1">
      <alignment/>
    </xf>
    <xf numFmtId="0" fontId="46" fillId="2" borderId="29" xfId="0" applyFont="1" applyBorder="1" applyAlignment="1">
      <alignment/>
    </xf>
    <xf numFmtId="0" fontId="0" fillId="2" borderId="50" xfId="0" applyBorder="1" applyAlignment="1">
      <alignment/>
    </xf>
    <xf numFmtId="0" fontId="9" fillId="2" borderId="50" xfId="0" applyFont="1" applyBorder="1" applyAlignment="1" applyProtection="1">
      <alignment horizontal="center"/>
      <protection/>
    </xf>
    <xf numFmtId="0" fontId="9" fillId="2" borderId="37" xfId="0" applyFont="1" applyBorder="1" applyAlignment="1" applyProtection="1">
      <alignment horizontal="right"/>
      <protection/>
    </xf>
    <xf numFmtId="0" fontId="9" fillId="2" borderId="1" xfId="0" applyFont="1" applyBorder="1" applyAlignment="1" applyProtection="1">
      <alignment horizontal="right"/>
      <protection/>
    </xf>
    <xf numFmtId="0" fontId="13" fillId="2" borderId="37" xfId="0" applyFont="1" applyBorder="1" applyAlignment="1" applyProtection="1">
      <alignment horizontal="right"/>
      <protection/>
    </xf>
    <xf numFmtId="0" fontId="9" fillId="2" borderId="1" xfId="0" applyFont="1" applyAlignment="1" applyProtection="1">
      <alignment vertical="center"/>
      <protection/>
    </xf>
    <xf numFmtId="0" fontId="0" fillId="2" borderId="1" xfId="0" applyAlignment="1">
      <alignment vertical="center"/>
    </xf>
    <xf numFmtId="0" fontId="9" fillId="2" borderId="1" xfId="0" applyFont="1" applyAlignment="1" applyProtection="1">
      <alignment horizontal="centerContinuous" vertical="center"/>
      <protection/>
    </xf>
    <xf numFmtId="0" fontId="9" fillId="2" borderId="1" xfId="0" applyFont="1" applyAlignment="1">
      <alignment horizontal="centerContinuous" vertical="center"/>
    </xf>
    <xf numFmtId="0" fontId="13" fillId="2" borderId="1" xfId="0" applyFont="1" applyAlignment="1">
      <alignment horizontal="centerContinuous" vertical="center"/>
    </xf>
    <xf numFmtId="1" fontId="9" fillId="2" borderId="1" xfId="0" applyNumberFormat="1" applyFont="1" applyAlignment="1" applyProtection="1">
      <alignment vertical="center"/>
      <protection/>
    </xf>
    <xf numFmtId="0" fontId="20" fillId="2" borderId="1" xfId="0" applyFont="1" applyAlignment="1">
      <alignment vertical="center"/>
    </xf>
    <xf numFmtId="0" fontId="13" fillId="2" borderId="1" xfId="0" applyFont="1" applyAlignment="1" applyProtection="1">
      <alignment vertical="center"/>
      <protection/>
    </xf>
    <xf numFmtId="0" fontId="9" fillId="2" borderId="1" xfId="0" applyFont="1" applyAlignment="1" applyProtection="1">
      <alignment vertical="center"/>
      <protection locked="0"/>
    </xf>
    <xf numFmtId="0" fontId="13" fillId="2" borderId="1" xfId="0" applyFont="1" applyAlignment="1" applyProtection="1">
      <alignment horizontal="right" vertical="center"/>
      <protection/>
    </xf>
    <xf numFmtId="0" fontId="9" fillId="2" borderId="1" xfId="0" applyFont="1" applyAlignment="1" applyProtection="1">
      <alignment horizontal="right" vertical="center"/>
      <protection/>
    </xf>
    <xf numFmtId="37" fontId="9" fillId="2" borderId="1" xfId="0" applyNumberFormat="1" applyFont="1" applyAlignment="1" applyProtection="1">
      <alignment vertical="center"/>
      <protection/>
    </xf>
    <xf numFmtId="0" fontId="9" fillId="2" borderId="0" xfId="0" applyFont="1" applyBorder="1" applyAlignment="1" applyProtection="1">
      <alignment vertical="center"/>
      <protection/>
    </xf>
    <xf numFmtId="0" fontId="9" fillId="2" borderId="1" xfId="0" applyFont="1" applyAlignment="1" applyProtection="1">
      <alignment horizontal="left" vertical="center"/>
      <protection/>
    </xf>
    <xf numFmtId="0" fontId="9" fillId="2" borderId="51" xfId="0" applyFont="1" applyBorder="1" applyAlignment="1" applyProtection="1">
      <alignment vertical="center"/>
      <protection/>
    </xf>
    <xf numFmtId="0" fontId="17" fillId="2" borderId="1" xfId="0" applyFont="1" applyAlignment="1" applyProtection="1">
      <alignment vertical="center"/>
      <protection locked="0"/>
    </xf>
    <xf numFmtId="0" fontId="11" fillId="2" borderId="1" xfId="0" applyFont="1" applyAlignment="1" applyProtection="1">
      <alignment vertical="center"/>
      <protection/>
    </xf>
    <xf numFmtId="0" fontId="38" fillId="33" borderId="0" xfId="57" applyFont="1" applyAlignment="1">
      <alignment horizontal="left" vertical="center"/>
      <protection/>
    </xf>
    <xf numFmtId="0" fontId="9" fillId="2" borderId="1" xfId="0" applyFont="1" applyAlignment="1" applyProtection="1">
      <alignment horizontal="center" vertical="center"/>
      <protection/>
    </xf>
    <xf numFmtId="0" fontId="13" fillId="2" borderId="1" xfId="0" applyFont="1" applyAlignment="1" applyProtection="1">
      <alignment horizontal="center" vertical="center"/>
      <protection/>
    </xf>
    <xf numFmtId="174" fontId="13" fillId="0" borderId="14" xfId="69" applyAlignment="1">
      <alignment horizontal="center" vertical="center"/>
      <protection/>
    </xf>
    <xf numFmtId="0" fontId="31" fillId="2" borderId="1" xfId="0" applyFont="1" applyAlignment="1">
      <alignment vertical="center"/>
    </xf>
    <xf numFmtId="0" fontId="33" fillId="37" borderId="0" xfId="64" applyAlignment="1">
      <alignment vertical="center"/>
      <protection/>
    </xf>
    <xf numFmtId="37" fontId="9" fillId="2" borderId="51" xfId="0" applyNumberFormat="1" applyFont="1" applyBorder="1" applyAlignment="1" applyProtection="1">
      <alignment horizontal="right" vertical="center"/>
      <protection/>
    </xf>
    <xf numFmtId="37" fontId="36" fillId="31" borderId="5" xfId="47" applyBorder="1" applyAlignment="1">
      <alignment horizontal="right" vertical="center"/>
      <protection/>
    </xf>
    <xf numFmtId="37" fontId="36" fillId="31" borderId="52" xfId="47" applyBorder="1" applyAlignment="1">
      <alignment horizontal="right" vertical="center"/>
      <protection/>
    </xf>
    <xf numFmtId="0" fontId="38" fillId="0" borderId="5" xfId="59" applyFont="1" applyAlignment="1">
      <alignment horizontal="right" vertical="center"/>
      <protection/>
    </xf>
    <xf numFmtId="0" fontId="9" fillId="2" borderId="29" xfId="0" applyFont="1" applyBorder="1" applyAlignment="1" applyProtection="1">
      <alignment vertical="center"/>
      <protection/>
    </xf>
    <xf numFmtId="0" fontId="9" fillId="2" borderId="28" xfId="0" applyFont="1" applyBorder="1" applyAlignment="1" applyProtection="1">
      <alignment vertical="center"/>
      <protection/>
    </xf>
    <xf numFmtId="0" fontId="11" fillId="2" borderId="1" xfId="0" applyFont="1" applyAlignment="1" applyProtection="1">
      <alignment horizontal="left" vertical="center"/>
      <protection/>
    </xf>
    <xf numFmtId="37" fontId="43" fillId="39" borderId="5" xfId="81" applyFont="1" applyAlignment="1">
      <alignment horizontal="center" vertical="center"/>
      <protection/>
    </xf>
    <xf numFmtId="37" fontId="24" fillId="39" borderId="5" xfId="81" applyAlignment="1">
      <alignment horizontal="center" vertical="center"/>
      <protection/>
    </xf>
    <xf numFmtId="0" fontId="9" fillId="2" borderId="1" xfId="0" applyFont="1" applyBorder="1" applyAlignment="1" applyProtection="1">
      <alignment vertical="center"/>
      <protection/>
    </xf>
    <xf numFmtId="0" fontId="0" fillId="2" borderId="1" xfId="0" applyBorder="1" applyAlignment="1">
      <alignment vertical="center"/>
    </xf>
    <xf numFmtId="0" fontId="9" fillId="2" borderId="50" xfId="0" applyFont="1" applyBorder="1" applyAlignment="1" applyProtection="1">
      <alignment vertical="center"/>
      <protection/>
    </xf>
    <xf numFmtId="0" fontId="0" fillId="2" borderId="28" xfId="0" applyBorder="1" applyAlignment="1">
      <alignment vertical="center"/>
    </xf>
    <xf numFmtId="0" fontId="23" fillId="2" borderId="1" xfId="0" applyFont="1" applyAlignment="1" applyProtection="1">
      <alignment horizontal="left" vertical="center"/>
      <protection/>
    </xf>
    <xf numFmtId="0" fontId="10" fillId="33" borderId="53" xfId="0" applyFont="1" applyFill="1" applyBorder="1" applyAlignment="1" applyProtection="1">
      <alignment vertical="center"/>
      <protection/>
    </xf>
    <xf numFmtId="0" fontId="10" fillId="33" borderId="54" xfId="0" applyFont="1" applyFill="1" applyBorder="1" applyAlignment="1" applyProtection="1">
      <alignment vertical="center"/>
      <protection/>
    </xf>
    <xf numFmtId="0" fontId="10" fillId="33" borderId="55" xfId="0" applyFont="1" applyFill="1" applyBorder="1" applyAlignment="1" applyProtection="1">
      <alignment vertical="center"/>
      <protection/>
    </xf>
    <xf numFmtId="0" fontId="9" fillId="2" borderId="56" xfId="0" applyFont="1" applyBorder="1" applyAlignment="1" applyProtection="1">
      <alignment horizontal="center" vertical="center"/>
      <protection/>
    </xf>
    <xf numFmtId="0" fontId="9" fillId="2" borderId="57" xfId="0" applyFont="1" applyBorder="1" applyAlignment="1" applyProtection="1">
      <alignment horizontal="right" vertical="center"/>
      <protection/>
    </xf>
    <xf numFmtId="0" fontId="9" fillId="2" borderId="58" xfId="0" applyFont="1" applyBorder="1" applyAlignment="1" applyProtection="1">
      <alignment vertical="center"/>
      <protection/>
    </xf>
    <xf numFmtId="37" fontId="9" fillId="2" borderId="0" xfId="0" applyNumberFormat="1" applyFont="1" applyBorder="1" applyAlignment="1" applyProtection="1">
      <alignment horizontal="right" vertical="center"/>
      <protection/>
    </xf>
    <xf numFmtId="0" fontId="9" fillId="2" borderId="0" xfId="0" applyFont="1" applyBorder="1" applyAlignment="1" applyProtection="1">
      <alignment horizontal="center" vertical="center"/>
      <protection/>
    </xf>
    <xf numFmtId="0" fontId="9" fillId="2" borderId="59" xfId="0" applyFont="1" applyBorder="1" applyAlignment="1" applyProtection="1">
      <alignment horizontal="center" vertical="center"/>
      <protection/>
    </xf>
    <xf numFmtId="0" fontId="9" fillId="2" borderId="25" xfId="0" applyFont="1" applyBorder="1" applyAlignment="1" applyProtection="1">
      <alignment horizontal="right" vertical="center"/>
      <protection/>
    </xf>
    <xf numFmtId="0" fontId="0" fillId="2" borderId="0" xfId="0" applyBorder="1" applyAlignment="1">
      <alignment vertical="center"/>
    </xf>
    <xf numFmtId="37" fontId="50" fillId="35" borderId="5" xfId="73" applyBorder="1" applyAlignment="1">
      <alignment horizontal="center" vertical="center"/>
      <protection locked="0"/>
    </xf>
    <xf numFmtId="37" fontId="9" fillId="2" borderId="0" xfId="0" applyNumberFormat="1" applyFont="1" applyBorder="1" applyAlignment="1" applyProtection="1">
      <alignment horizontal="left" vertical="center"/>
      <protection/>
    </xf>
    <xf numFmtId="0" fontId="0" fillId="2" borderId="60" xfId="0" applyBorder="1" applyAlignment="1">
      <alignment vertical="center"/>
    </xf>
    <xf numFmtId="0" fontId="0" fillId="2" borderId="19" xfId="0" applyBorder="1" applyAlignment="1">
      <alignment vertical="center"/>
    </xf>
    <xf numFmtId="37" fontId="50" fillId="35" borderId="5" xfId="73" applyAlignment="1">
      <alignment horizontal="center" vertical="center"/>
      <protection locked="0"/>
    </xf>
    <xf numFmtId="0" fontId="21" fillId="2" borderId="56" xfId="0" applyFont="1" applyBorder="1" applyAlignment="1" applyProtection="1">
      <alignment horizontal="left" vertical="center"/>
      <protection/>
    </xf>
    <xf numFmtId="37" fontId="13" fillId="2" borderId="0" xfId="0" applyNumberFormat="1" applyFont="1" applyBorder="1" applyAlignment="1" applyProtection="1">
      <alignment horizontal="center" vertical="center" wrapText="1"/>
      <protection/>
    </xf>
    <xf numFmtId="0" fontId="13" fillId="2" borderId="0" xfId="0" applyFont="1" applyBorder="1" applyAlignment="1" applyProtection="1">
      <alignment vertical="center"/>
      <protection/>
    </xf>
    <xf numFmtId="0" fontId="22" fillId="36" borderId="30" xfId="63" applyFont="1" applyBorder="1" applyAlignment="1">
      <alignment horizontal="center" vertical="center"/>
      <protection locked="0"/>
    </xf>
    <xf numFmtId="0" fontId="9" fillId="2" borderId="61" xfId="0" applyFont="1" applyBorder="1" applyAlignment="1" applyProtection="1">
      <alignment horizontal="center" vertical="center"/>
      <protection/>
    </xf>
    <xf numFmtId="0" fontId="9" fillId="2" borderId="62" xfId="0" applyFont="1" applyBorder="1" applyAlignment="1" applyProtection="1">
      <alignment horizontal="right" vertical="center"/>
      <protection/>
    </xf>
    <xf numFmtId="0" fontId="9" fillId="2" borderId="63" xfId="0" applyFont="1" applyBorder="1" applyAlignment="1" applyProtection="1">
      <alignment vertical="center"/>
      <protection/>
    </xf>
    <xf numFmtId="0" fontId="22" fillId="36" borderId="64" xfId="63" applyFont="1" applyBorder="1" applyAlignment="1">
      <alignment horizontal="center" vertical="center"/>
      <protection locked="0"/>
    </xf>
    <xf numFmtId="0" fontId="22" fillId="36" borderId="65" xfId="63" applyFont="1" applyBorder="1" applyAlignment="1">
      <alignment horizontal="center" vertical="center"/>
      <protection locked="0"/>
    </xf>
    <xf numFmtId="0" fontId="0" fillId="36" borderId="12" xfId="63" applyBorder="1" applyAlignment="1">
      <alignment vertical="center"/>
      <protection locked="0"/>
    </xf>
    <xf numFmtId="0" fontId="0" fillId="36" borderId="66" xfId="63" applyBorder="1" applyAlignment="1">
      <alignment horizontal="right" vertical="center"/>
      <protection locked="0"/>
    </xf>
    <xf numFmtId="0" fontId="0" fillId="36" borderId="67" xfId="63" applyBorder="1" applyAlignment="1">
      <alignment vertical="center"/>
      <protection locked="0"/>
    </xf>
    <xf numFmtId="0" fontId="0" fillId="36" borderId="68" xfId="63" applyBorder="1" applyAlignment="1">
      <alignment horizontal="right" vertical="center"/>
      <protection locked="0"/>
    </xf>
    <xf numFmtId="0" fontId="38" fillId="2" borderId="69" xfId="57" applyFont="1" applyFill="1" applyBorder="1" applyAlignment="1">
      <alignment horizontal="left" vertical="center"/>
      <protection/>
    </xf>
    <xf numFmtId="0" fontId="9" fillId="2" borderId="70" xfId="0" applyFont="1" applyBorder="1" applyAlignment="1" applyProtection="1">
      <alignment horizontal="center" vertical="center"/>
      <protection/>
    </xf>
    <xf numFmtId="0" fontId="9" fillId="2" borderId="63" xfId="0" applyFont="1" applyBorder="1" applyAlignment="1" applyProtection="1">
      <alignment horizontal="center" vertical="center"/>
      <protection/>
    </xf>
    <xf numFmtId="0" fontId="33" fillId="37" borderId="1" xfId="0" applyFont="1" applyFill="1" applyAlignment="1" applyProtection="1">
      <alignment vertical="center"/>
      <protection/>
    </xf>
    <xf numFmtId="0" fontId="34" fillId="37" borderId="1" xfId="0" applyFont="1" applyFill="1" applyAlignment="1" applyProtection="1">
      <alignment horizontal="center" vertical="center"/>
      <protection/>
    </xf>
    <xf numFmtId="0" fontId="19" fillId="2" borderId="1" xfId="0" applyFont="1" applyAlignment="1" applyProtection="1">
      <alignment vertical="center"/>
      <protection/>
    </xf>
    <xf numFmtId="0" fontId="10" fillId="33" borderId="1" xfId="0" applyFont="1" applyFill="1" applyAlignment="1" applyProtection="1">
      <alignment vertical="center"/>
      <protection/>
    </xf>
    <xf numFmtId="0" fontId="2" fillId="33" borderId="0" xfId="57" applyAlignment="1">
      <alignment horizontal="left" vertical="center"/>
      <protection/>
    </xf>
    <xf numFmtId="0" fontId="9" fillId="2" borderId="71" xfId="0" applyFont="1" applyBorder="1" applyAlignment="1" applyProtection="1">
      <alignment vertical="center"/>
      <protection/>
    </xf>
    <xf numFmtId="174" fontId="13" fillId="2" borderId="1" xfId="0" applyNumberFormat="1" applyFont="1" applyAlignment="1" applyProtection="1">
      <alignment horizontal="center" vertical="center"/>
      <protection/>
    </xf>
    <xf numFmtId="174" fontId="13" fillId="0" borderId="0" xfId="69" applyBorder="1" applyAlignment="1">
      <alignment horizontal="center" vertical="center"/>
      <protection/>
    </xf>
    <xf numFmtId="174" fontId="13" fillId="0" borderId="72" xfId="69" applyBorder="1" applyAlignment="1">
      <alignment horizontal="center" vertical="center"/>
      <protection/>
    </xf>
    <xf numFmtId="174" fontId="13" fillId="40" borderId="73" xfId="69" applyFill="1" applyBorder="1" applyAlignment="1">
      <alignment horizontal="center" vertical="center"/>
      <protection/>
    </xf>
    <xf numFmtId="0" fontId="0" fillId="36" borderId="5" xfId="63" applyBorder="1" applyAlignment="1">
      <alignment horizontal="right" vertical="center"/>
      <protection locked="0"/>
    </xf>
    <xf numFmtId="37" fontId="24" fillId="39" borderId="74" xfId="0" applyNumberFormat="1" applyFont="1" applyFill="1" applyBorder="1" applyAlignment="1" applyProtection="1">
      <alignment horizontal="center" vertical="center"/>
      <protection/>
    </xf>
    <xf numFmtId="37" fontId="24" fillId="39" borderId="75" xfId="0" applyNumberFormat="1" applyFont="1" applyFill="1" applyBorder="1" applyAlignment="1" applyProtection="1">
      <alignment horizontal="center" vertical="center"/>
      <protection/>
    </xf>
    <xf numFmtId="0" fontId="9" fillId="2" borderId="76" xfId="0" applyFont="1" applyBorder="1" applyAlignment="1" applyProtection="1">
      <alignment vertical="center"/>
      <protection/>
    </xf>
    <xf numFmtId="0" fontId="13" fillId="2" borderId="77" xfId="0" applyFont="1" applyBorder="1" applyAlignment="1" applyProtection="1">
      <alignment horizontal="right" vertical="center"/>
      <protection/>
    </xf>
    <xf numFmtId="0" fontId="0" fillId="36" borderId="5" xfId="63" applyBorder="1" applyAlignment="1">
      <alignment vertical="center"/>
      <protection locked="0"/>
    </xf>
    <xf numFmtId="0" fontId="9" fillId="2" borderId="33" xfId="0" applyFont="1" applyBorder="1" applyAlignment="1" applyProtection="1">
      <alignment vertical="center"/>
      <protection/>
    </xf>
    <xf numFmtId="184" fontId="50" fillId="35" borderId="5" xfId="73" applyNumberFormat="1" applyAlignment="1">
      <alignment horizontal="center" vertical="center"/>
      <protection locked="0"/>
    </xf>
    <xf numFmtId="184" fontId="50" fillId="35" borderId="25" xfId="73" applyNumberFormat="1" applyBorder="1" applyAlignment="1">
      <alignment horizontal="center" vertical="center"/>
      <protection locked="0"/>
    </xf>
    <xf numFmtId="184" fontId="24" fillId="39" borderId="5" xfId="81" applyNumberFormat="1" applyAlignment="1">
      <alignment horizontal="center" vertical="center"/>
      <protection/>
    </xf>
    <xf numFmtId="184" fontId="24" fillId="39" borderId="74" xfId="0" applyNumberFormat="1" applyFont="1" applyFill="1" applyBorder="1" applyAlignment="1" applyProtection="1">
      <alignment horizontal="center" vertical="center"/>
      <protection/>
    </xf>
    <xf numFmtId="184" fontId="35" fillId="35" borderId="5" xfId="73" applyNumberFormat="1" applyFont="1" applyAlignment="1">
      <alignment horizontal="center" vertical="center"/>
      <protection locked="0"/>
    </xf>
    <xf numFmtId="184" fontId="24" fillId="39" borderId="78" xfId="0" applyNumberFormat="1" applyFont="1" applyFill="1" applyBorder="1" applyAlignment="1" applyProtection="1">
      <alignment horizontal="center" vertical="center"/>
      <protection/>
    </xf>
    <xf numFmtId="184" fontId="50" fillId="35" borderId="75" xfId="73" applyNumberFormat="1" applyBorder="1" applyAlignment="1">
      <alignment horizontal="center" vertical="center"/>
      <protection locked="0"/>
    </xf>
    <xf numFmtId="184" fontId="50" fillId="35" borderId="79" xfId="73" applyNumberFormat="1" applyBorder="1" applyAlignment="1">
      <alignment horizontal="center" vertical="center"/>
      <protection locked="0"/>
    </xf>
    <xf numFmtId="37" fontId="18" fillId="2" borderId="1" xfId="0" applyNumberFormat="1" applyFont="1" applyAlignment="1" applyProtection="1">
      <alignment horizontal="left" vertical="center"/>
      <protection/>
    </xf>
    <xf numFmtId="0" fontId="38" fillId="2" borderId="0" xfId="57" applyFont="1" applyFill="1" applyAlignment="1">
      <alignment horizontal="left" vertical="center"/>
      <protection/>
    </xf>
    <xf numFmtId="0" fontId="13" fillId="2" borderId="80" xfId="0" applyFont="1" applyBorder="1" applyAlignment="1" applyProtection="1">
      <alignment horizontal="center" vertical="center" wrapText="1"/>
      <protection/>
    </xf>
    <xf numFmtId="0" fontId="12" fillId="2" borderId="14" xfId="0" applyFont="1" applyBorder="1" applyAlignment="1" applyProtection="1">
      <alignment vertical="center"/>
      <protection/>
    </xf>
    <xf numFmtId="174" fontId="13" fillId="2" borderId="14" xfId="0" applyNumberFormat="1" applyFont="1" applyBorder="1" applyAlignment="1" applyProtection="1">
      <alignment horizontal="center" vertical="center"/>
      <protection/>
    </xf>
    <xf numFmtId="0" fontId="13" fillId="41" borderId="81" xfId="0" applyFont="1" applyFill="1" applyBorder="1" applyAlignment="1" applyProtection="1">
      <alignment horizontal="center" vertical="center"/>
      <protection/>
    </xf>
    <xf numFmtId="37" fontId="9" fillId="2" borderId="1" xfId="0" applyNumberFormat="1" applyFont="1" applyAlignment="1" applyProtection="1">
      <alignment horizontal="center" vertical="center"/>
      <protection/>
    </xf>
    <xf numFmtId="37" fontId="9" fillId="2" borderId="1" xfId="0" applyNumberFormat="1" applyFont="1" applyAlignment="1" applyProtection="1">
      <alignment horizontal="right" vertical="center"/>
      <protection/>
    </xf>
    <xf numFmtId="37" fontId="9" fillId="2" borderId="1" xfId="0" applyNumberFormat="1" applyFont="1" applyAlignment="1" applyProtection="1">
      <alignment horizontal="left" vertical="center"/>
      <protection/>
    </xf>
    <xf numFmtId="0" fontId="13" fillId="41" borderId="82" xfId="0" applyFont="1" applyFill="1" applyBorder="1" applyAlignment="1" applyProtection="1">
      <alignment horizontal="center" vertical="center"/>
      <protection/>
    </xf>
    <xf numFmtId="37" fontId="36" fillId="31" borderId="83" xfId="47" applyBorder="1" applyAlignment="1">
      <alignment horizontal="right" vertical="center"/>
      <protection/>
    </xf>
    <xf numFmtId="37" fontId="36" fillId="31" borderId="84" xfId="47" applyFill="1" applyBorder="1" applyAlignment="1">
      <alignment horizontal="right" vertical="center"/>
      <protection/>
    </xf>
    <xf numFmtId="37" fontId="24" fillId="0" borderId="51" xfId="0" applyNumberFormat="1" applyFont="1" applyFill="1" applyBorder="1" applyAlignment="1" applyProtection="1">
      <alignment horizontal="right" vertical="center"/>
      <protection locked="0"/>
    </xf>
    <xf numFmtId="37" fontId="24" fillId="0" borderId="0" xfId="0" applyNumberFormat="1" applyFont="1" applyFill="1" applyBorder="1" applyAlignment="1" applyProtection="1">
      <alignment horizontal="right" vertical="center"/>
      <protection locked="0"/>
    </xf>
    <xf numFmtId="37" fontId="24" fillId="0" borderId="1" xfId="0" applyNumberFormat="1" applyFont="1" applyFill="1" applyAlignment="1" applyProtection="1">
      <alignment horizontal="right" vertical="center"/>
      <protection locked="0"/>
    </xf>
    <xf numFmtId="0" fontId="0" fillId="2" borderId="29" xfId="0" applyBorder="1" applyAlignment="1">
      <alignment vertical="center"/>
    </xf>
    <xf numFmtId="37" fontId="37" fillId="0" borderId="1" xfId="0" applyNumberFormat="1" applyFont="1" applyFill="1" applyAlignment="1" applyProtection="1">
      <alignment horizontal="left" vertical="center"/>
      <protection/>
    </xf>
    <xf numFmtId="37" fontId="25" fillId="0" borderId="1" xfId="0" applyNumberFormat="1" applyFont="1" applyFill="1" applyAlignment="1" applyProtection="1">
      <alignment horizontal="right" vertical="center" wrapText="1"/>
      <protection/>
    </xf>
    <xf numFmtId="0" fontId="31" fillId="0" borderId="64" xfId="59" applyFont="1" applyBorder="1" applyAlignment="1">
      <alignment horizontal="right" vertical="center"/>
      <protection/>
    </xf>
    <xf numFmtId="9" fontId="42" fillId="35" borderId="64" xfId="71" applyNumberFormat="1" applyFont="1" applyBorder="1" applyAlignment="1">
      <alignment horizontal="right" vertical="center"/>
      <protection locked="0"/>
    </xf>
    <xf numFmtId="0" fontId="31" fillId="0" borderId="64" xfId="59" applyFont="1" applyBorder="1" applyAlignment="1">
      <alignment vertical="center"/>
      <protection/>
    </xf>
    <xf numFmtId="37" fontId="9" fillId="41" borderId="1" xfId="0" applyNumberFormat="1" applyFont="1" applyFill="1" applyAlignment="1" applyProtection="1">
      <alignment horizontal="right" vertical="center"/>
      <protection/>
    </xf>
    <xf numFmtId="37" fontId="26" fillId="0" borderId="1" xfId="0" applyNumberFormat="1" applyFont="1" applyFill="1" applyAlignment="1" applyProtection="1">
      <alignment horizontal="left" vertical="center"/>
      <protection/>
    </xf>
    <xf numFmtId="37" fontId="9" fillId="41" borderId="1" xfId="0" applyNumberFormat="1" applyFont="1" applyFill="1" applyAlignment="1" applyProtection="1">
      <alignment horizontal="left" vertical="center"/>
      <protection/>
    </xf>
    <xf numFmtId="0" fontId="11" fillId="2" borderId="51" xfId="0" applyFont="1" applyBorder="1" applyAlignment="1" applyProtection="1">
      <alignment vertical="center"/>
      <protection/>
    </xf>
    <xf numFmtId="0" fontId="9" fillId="2" borderId="20" xfId="0" applyFont="1" applyBorder="1" applyAlignment="1" applyProtection="1">
      <alignment horizontal="right" vertical="center"/>
      <protection/>
    </xf>
    <xf numFmtId="0" fontId="9" fillId="2" borderId="85" xfId="0" applyFont="1" applyBorder="1" applyAlignment="1" applyProtection="1">
      <alignment horizontal="right" vertical="center"/>
      <protection/>
    </xf>
    <xf numFmtId="38" fontId="9" fillId="2" borderId="1" xfId="0" applyNumberFormat="1" applyFont="1" applyAlignment="1" applyProtection="1">
      <alignment vertical="center"/>
      <protection/>
    </xf>
    <xf numFmtId="38" fontId="0" fillId="2" borderId="1" xfId="0" applyNumberFormat="1" applyAlignment="1">
      <alignment vertical="center"/>
    </xf>
    <xf numFmtId="0" fontId="13" fillId="2" borderId="76" xfId="0" applyFont="1" applyBorder="1" applyAlignment="1" applyProtection="1">
      <alignment horizontal="right" vertical="center"/>
      <protection/>
    </xf>
    <xf numFmtId="37" fontId="43" fillId="39" borderId="85" xfId="81" applyFont="1" applyBorder="1" applyAlignment="1">
      <alignment horizontal="center" vertical="center"/>
      <protection/>
    </xf>
    <xf numFmtId="0" fontId="9" fillId="2" borderId="70" xfId="0" applyFont="1" applyBorder="1" applyAlignment="1" applyProtection="1">
      <alignment horizontal="left" vertical="center"/>
      <protection/>
    </xf>
    <xf numFmtId="0" fontId="9" fillId="2" borderId="61" xfId="0" applyFont="1" applyBorder="1" applyAlignment="1" applyProtection="1">
      <alignment horizontal="left" vertical="center"/>
      <protection/>
    </xf>
    <xf numFmtId="0" fontId="9" fillId="2" borderId="1" xfId="0" applyFont="1" applyAlignment="1" applyProtection="1">
      <alignment horizontal="center" vertical="center"/>
      <protection locked="0"/>
    </xf>
    <xf numFmtId="0" fontId="0" fillId="2" borderId="1" xfId="0" applyAlignment="1" applyProtection="1">
      <alignment vertical="center"/>
      <protection locked="0"/>
    </xf>
    <xf numFmtId="37" fontId="24" fillId="39" borderId="25" xfId="81" applyBorder="1" applyAlignment="1">
      <alignment horizontal="center" vertical="center"/>
      <protection/>
    </xf>
    <xf numFmtId="0" fontId="19" fillId="2" borderId="76" xfId="0" applyFont="1" applyBorder="1" applyAlignment="1" applyProtection="1">
      <alignment horizontal="right" vertical="center"/>
      <protection/>
    </xf>
    <xf numFmtId="0" fontId="1" fillId="2" borderId="1" xfId="0" applyFont="1" applyAlignment="1">
      <alignment vertical="center"/>
    </xf>
    <xf numFmtId="37" fontId="19" fillId="31" borderId="5" xfId="47" applyFont="1" applyAlignment="1">
      <alignment horizontal="right" vertical="center"/>
      <protection/>
    </xf>
    <xf numFmtId="37" fontId="50" fillId="35" borderId="5" xfId="71">
      <alignment horizontal="right"/>
      <protection locked="0"/>
    </xf>
    <xf numFmtId="0" fontId="0" fillId="2" borderId="10" xfId="61">
      <alignment horizontal="right"/>
      <protection locked="0"/>
    </xf>
    <xf numFmtId="0" fontId="9" fillId="0" borderId="1" xfId="60">
      <alignment horizontal="left"/>
      <protection/>
    </xf>
    <xf numFmtId="37" fontId="50" fillId="35" borderId="5" xfId="73">
      <alignment horizontal="center"/>
      <protection locked="0"/>
    </xf>
    <xf numFmtId="37" fontId="39" fillId="31" borderId="86" xfId="74" applyFont="1" applyBorder="1" applyAlignment="1">
      <alignment horizontal="center" vertical="center"/>
      <protection/>
    </xf>
    <xf numFmtId="37" fontId="39" fillId="31" borderId="87" xfId="74" applyFont="1" applyBorder="1" applyAlignment="1">
      <alignment horizontal="center" vertical="center"/>
      <protection/>
    </xf>
    <xf numFmtId="37" fontId="39" fillId="31" borderId="88" xfId="74" applyFont="1" applyBorder="1" applyAlignment="1">
      <alignment horizontal="center" vertical="center"/>
      <protection/>
    </xf>
    <xf numFmtId="37" fontId="39" fillId="31" borderId="15" xfId="74" applyFont="1" applyBorder="1" applyAlignment="1">
      <alignment horizontal="center" vertical="center"/>
      <protection/>
    </xf>
    <xf numFmtId="37" fontId="39" fillId="31" borderId="89" xfId="74" applyFont="1" applyBorder="1" applyAlignment="1">
      <alignment horizontal="center" vertical="center"/>
      <protection/>
    </xf>
    <xf numFmtId="37" fontId="39" fillId="31" borderId="90" xfId="74" applyFont="1" applyBorder="1" applyAlignment="1">
      <alignment horizontal="center" vertical="center"/>
      <protection/>
    </xf>
    <xf numFmtId="0" fontId="0" fillId="2" borderId="91" xfId="0" applyBorder="1" applyAlignment="1">
      <alignment/>
    </xf>
    <xf numFmtId="0" fontId="0" fillId="2" borderId="92" xfId="0" applyBorder="1" applyAlignment="1">
      <alignment/>
    </xf>
    <xf numFmtId="0" fontId="0" fillId="2" borderId="93" xfId="0" applyBorder="1" applyAlignment="1">
      <alignment/>
    </xf>
    <xf numFmtId="0" fontId="0" fillId="2" borderId="94" xfId="0" applyBorder="1" applyAlignment="1">
      <alignment/>
    </xf>
    <xf numFmtId="0" fontId="0" fillId="2" borderId="95" xfId="0" applyBorder="1" applyAlignment="1">
      <alignment/>
    </xf>
    <xf numFmtId="0" fontId="0" fillId="2" borderId="96" xfId="0" applyBorder="1" applyAlignment="1">
      <alignment/>
    </xf>
    <xf numFmtId="0" fontId="0" fillId="2" borderId="97" xfId="0" applyBorder="1" applyAlignment="1">
      <alignment/>
    </xf>
    <xf numFmtId="0" fontId="0" fillId="2" borderId="98" xfId="0" applyBorder="1" applyAlignment="1">
      <alignment/>
    </xf>
    <xf numFmtId="0" fontId="0" fillId="2" borderId="99" xfId="0" applyBorder="1" applyAlignment="1">
      <alignment/>
    </xf>
    <xf numFmtId="37" fontId="24" fillId="39" borderId="85" xfId="81" applyBorder="1" applyAlignment="1">
      <alignment horizontal="center" vertical="center"/>
      <protection/>
    </xf>
    <xf numFmtId="172" fontId="51" fillId="31" borderId="5" xfId="0" applyNumberFormat="1" applyFont="1" applyFill="1" applyBorder="1" applyAlignment="1" applyProtection="1">
      <alignment horizontal="center" vertical="center"/>
      <protection/>
    </xf>
    <xf numFmtId="37" fontId="50" fillId="35" borderId="100" xfId="73" applyBorder="1">
      <alignment horizontal="center"/>
      <protection locked="0"/>
    </xf>
    <xf numFmtId="37" fontId="50" fillId="35" borderId="101" xfId="73" applyBorder="1">
      <alignment horizontal="center"/>
      <protection locked="0"/>
    </xf>
    <xf numFmtId="37" fontId="50" fillId="35" borderId="102" xfId="73" applyBorder="1">
      <alignment horizontal="center"/>
      <protection locked="0"/>
    </xf>
    <xf numFmtId="37" fontId="24" fillId="39" borderId="30" xfId="81" applyBorder="1" applyAlignment="1">
      <alignment horizontal="center" vertical="center"/>
      <protection/>
    </xf>
    <xf numFmtId="37" fontId="24" fillId="39" borderId="64" xfId="81" applyBorder="1" applyAlignment="1">
      <alignment horizontal="center" vertical="center"/>
      <protection/>
    </xf>
    <xf numFmtId="37" fontId="50" fillId="35" borderId="64" xfId="73" applyBorder="1">
      <alignment horizontal="center"/>
      <protection locked="0"/>
    </xf>
    <xf numFmtId="37" fontId="50" fillId="35" borderId="11" xfId="73" applyBorder="1">
      <alignment horizontal="center"/>
      <protection locked="0"/>
    </xf>
    <xf numFmtId="37" fontId="50" fillId="35" borderId="5" xfId="73" applyBorder="1">
      <alignment horizontal="center"/>
      <protection locked="0"/>
    </xf>
    <xf numFmtId="37" fontId="36" fillId="31" borderId="5" xfId="47">
      <alignment horizontal="right"/>
      <protection/>
    </xf>
    <xf numFmtId="38" fontId="55" fillId="31" borderId="5" xfId="68">
      <alignment/>
      <protection/>
    </xf>
    <xf numFmtId="37" fontId="36" fillId="31" borderId="25" xfId="47" applyBorder="1">
      <alignment horizontal="right"/>
      <protection/>
    </xf>
    <xf numFmtId="37" fontId="36" fillId="31" borderId="103" xfId="47" applyBorder="1">
      <alignment horizontal="right"/>
      <protection/>
    </xf>
    <xf numFmtId="37" fontId="50" fillId="35" borderId="85" xfId="71" applyBorder="1">
      <alignment horizontal="right"/>
      <protection locked="0"/>
    </xf>
    <xf numFmtId="37" fontId="50" fillId="35" borderId="25" xfId="71" applyBorder="1">
      <alignment horizontal="right"/>
      <protection locked="0"/>
    </xf>
    <xf numFmtId="37" fontId="50" fillId="35" borderId="103" xfId="71" applyBorder="1">
      <alignment horizontal="right"/>
      <protection locked="0"/>
    </xf>
    <xf numFmtId="38" fontId="55" fillId="31" borderId="85" xfId="68" applyBorder="1">
      <alignment/>
      <protection/>
    </xf>
    <xf numFmtId="38" fontId="55" fillId="31" borderId="103" xfId="68" applyBorder="1">
      <alignment/>
      <protection/>
    </xf>
    <xf numFmtId="37" fontId="52" fillId="35" borderId="5" xfId="73" applyFont="1">
      <alignment horizontal="center"/>
      <protection locked="0"/>
    </xf>
    <xf numFmtId="49" fontId="36" fillId="31" borderId="5" xfId="67" applyNumberFormat="1" applyFont="1" applyAlignment="1">
      <alignment horizontal="center"/>
      <protection/>
    </xf>
    <xf numFmtId="0" fontId="0" fillId="2" borderId="10" xfId="61" applyFont="1">
      <alignment horizontal="right"/>
      <protection locked="0"/>
    </xf>
    <xf numFmtId="0" fontId="53" fillId="2" borderId="6" xfId="48">
      <alignment/>
      <protection/>
    </xf>
    <xf numFmtId="0" fontId="2" fillId="33" borderId="0" xfId="57">
      <alignment horizontal="left" vertical="center"/>
      <protection/>
    </xf>
    <xf numFmtId="0" fontId="41" fillId="33" borderId="0" xfId="57" applyFont="1">
      <alignment horizontal="left" vertical="center"/>
      <protection/>
    </xf>
    <xf numFmtId="9" fontId="52" fillId="35" borderId="5" xfId="71" applyNumberFormat="1" applyFont="1" applyAlignment="1">
      <alignment horizontal="center" vertical="center"/>
      <protection locked="0"/>
    </xf>
    <xf numFmtId="0" fontId="31" fillId="0" borderId="64" xfId="59" applyFont="1" applyBorder="1" applyAlignment="1">
      <alignment horizontal="left" vertical="center"/>
      <protection/>
    </xf>
    <xf numFmtId="0" fontId="2" fillId="33" borderId="0" xfId="57" applyFont="1" applyAlignment="1">
      <alignment horizontal="left" vertical="center"/>
      <protection/>
    </xf>
    <xf numFmtId="37" fontId="39" fillId="31" borderId="89" xfId="74" applyNumberFormat="1" applyFont="1" applyBorder="1" applyAlignment="1" applyProtection="1">
      <alignment horizontal="center" vertical="center"/>
      <protection/>
    </xf>
    <xf numFmtId="37" fontId="39" fillId="31" borderId="90" xfId="74" applyNumberFormat="1" applyFont="1" applyBorder="1" applyAlignment="1" applyProtection="1">
      <alignment horizontal="center" vertical="center"/>
      <protection/>
    </xf>
    <xf numFmtId="37" fontId="39" fillId="31" borderId="104" xfId="74" applyNumberFormat="1" applyFont="1" applyBorder="1" applyAlignment="1" applyProtection="1">
      <alignment horizontal="center" vertical="center"/>
      <protection/>
    </xf>
    <xf numFmtId="37" fontId="39" fillId="31" borderId="87" xfId="74" applyNumberFormat="1" applyFont="1" applyBorder="1" applyAlignment="1">
      <alignment horizontal="center" vertical="center"/>
      <protection/>
    </xf>
    <xf numFmtId="37" fontId="36" fillId="31" borderId="5" xfId="47" applyNumberFormat="1" applyBorder="1" applyAlignment="1">
      <alignment horizontal="right" vertical="center"/>
      <protection/>
    </xf>
    <xf numFmtId="0" fontId="19" fillId="2" borderId="31" xfId="0" applyFont="1" applyBorder="1" applyAlignment="1" applyProtection="1">
      <alignment horizontal="center" wrapText="1"/>
      <protection/>
    </xf>
    <xf numFmtId="0" fontId="13" fillId="2" borderId="31" xfId="0" applyFont="1" applyBorder="1" applyAlignment="1" applyProtection="1">
      <alignment horizontal="center" wrapText="1"/>
      <protection/>
    </xf>
    <xf numFmtId="0" fontId="0" fillId="2" borderId="43" xfId="0" applyBorder="1" applyAlignment="1">
      <alignment/>
    </xf>
    <xf numFmtId="9" fontId="50" fillId="35" borderId="5" xfId="71" applyNumberFormat="1" applyFont="1" applyAlignment="1">
      <alignment horizontal="right" vertical="center"/>
      <protection locked="0"/>
    </xf>
    <xf numFmtId="37" fontId="50" fillId="35" borderId="5" xfId="73" applyFont="1" applyAlignment="1">
      <alignment horizontal="center" vertical="center"/>
      <protection locked="0"/>
    </xf>
    <xf numFmtId="37" fontId="50" fillId="35" borderId="5" xfId="71" applyFont="1" applyBorder="1" applyAlignment="1">
      <alignment horizontal="center"/>
      <protection locked="0"/>
    </xf>
    <xf numFmtId="37" fontId="50" fillId="35" borderId="5" xfId="71" applyFont="1" applyBorder="1">
      <alignment horizontal="right"/>
      <protection locked="0"/>
    </xf>
    <xf numFmtId="0" fontId="13" fillId="2" borderId="105" xfId="0" applyFont="1" applyBorder="1" applyAlignment="1" applyProtection="1">
      <alignment horizontal="center" wrapText="1"/>
      <protection/>
    </xf>
    <xf numFmtId="37" fontId="36" fillId="31" borderId="106" xfId="47" applyBorder="1" applyAlignment="1">
      <alignment horizontal="right"/>
      <protection/>
    </xf>
    <xf numFmtId="37" fontId="38" fillId="31" borderId="107" xfId="47" applyFont="1" applyBorder="1" applyAlignment="1">
      <alignment horizontal="right"/>
      <protection/>
    </xf>
    <xf numFmtId="0" fontId="19" fillId="41" borderId="1" xfId="0" applyFont="1" applyFill="1" applyAlignment="1" applyProtection="1">
      <alignment horizontal="right" vertical="center"/>
      <protection/>
    </xf>
    <xf numFmtId="0" fontId="25" fillId="2" borderId="71" xfId="0" applyFont="1" applyBorder="1" applyAlignment="1">
      <alignment horizontal="right"/>
    </xf>
    <xf numFmtId="0" fontId="14" fillId="41" borderId="1" xfId="0" applyFont="1" applyFill="1" applyAlignment="1" applyProtection="1">
      <alignment horizontal="left" vertical="center"/>
      <protection/>
    </xf>
    <xf numFmtId="38" fontId="55" fillId="31" borderId="25" xfId="68" applyBorder="1">
      <alignment/>
      <protection/>
    </xf>
    <xf numFmtId="0" fontId="40" fillId="33" borderId="108" xfId="0" applyFont="1" applyFill="1" applyBorder="1" applyAlignment="1" applyProtection="1">
      <alignment/>
      <protection/>
    </xf>
    <xf numFmtId="37" fontId="39" fillId="27" borderId="109" xfId="0" applyNumberFormat="1" applyFont="1" applyFill="1" applyBorder="1" applyAlignment="1" applyProtection="1">
      <alignment vertical="center"/>
      <protection/>
    </xf>
    <xf numFmtId="37" fontId="39" fillId="27" borderId="110" xfId="0" applyNumberFormat="1" applyFont="1" applyFill="1" applyBorder="1" applyAlignment="1" applyProtection="1">
      <alignment vertical="center"/>
      <protection/>
    </xf>
    <xf numFmtId="37" fontId="39" fillId="27" borderId="87" xfId="0" applyNumberFormat="1" applyFont="1" applyFill="1" applyBorder="1" applyAlignment="1" applyProtection="1">
      <alignment vertical="center"/>
      <protection/>
    </xf>
    <xf numFmtId="37" fontId="35" fillId="39" borderId="74" xfId="0" applyNumberFormat="1" applyFont="1" applyFill="1" applyBorder="1" applyAlignment="1" applyProtection="1">
      <alignment horizontal="center" vertical="center"/>
      <protection/>
    </xf>
    <xf numFmtId="37" fontId="39" fillId="27" borderId="82" xfId="0" applyNumberFormat="1" applyFont="1" applyFill="1" applyBorder="1" applyAlignment="1" applyProtection="1">
      <alignment vertical="center"/>
      <protection/>
    </xf>
    <xf numFmtId="0" fontId="10" fillId="33" borderId="0" xfId="78">
      <alignment/>
      <protection/>
    </xf>
    <xf numFmtId="0" fontId="9" fillId="2" borderId="1" xfId="0" applyFont="1" applyAlignment="1" applyProtection="1">
      <alignment horizontal="center"/>
      <protection/>
    </xf>
    <xf numFmtId="0" fontId="53" fillId="2" borderId="6" xfId="48" applyFont="1">
      <alignment/>
      <protection/>
    </xf>
    <xf numFmtId="10" fontId="50" fillId="35" borderId="5" xfId="71" applyNumberFormat="1">
      <alignment horizontal="right"/>
      <protection locked="0"/>
    </xf>
    <xf numFmtId="38" fontId="59" fillId="31" borderId="5" xfId="68" applyFont="1">
      <alignment/>
      <protection/>
    </xf>
    <xf numFmtId="38" fontId="12" fillId="2" borderId="85" xfId="0" applyNumberFormat="1" applyFont="1" applyBorder="1" applyAlignment="1" applyProtection="1">
      <alignment horizontal="left" vertical="center"/>
      <protection/>
    </xf>
    <xf numFmtId="0" fontId="9" fillId="2" borderId="20" xfId="0" applyFont="1" applyBorder="1" applyAlignment="1" applyProtection="1">
      <alignment horizontal="left" vertical="center"/>
      <protection/>
    </xf>
    <xf numFmtId="0" fontId="9" fillId="2" borderId="85" xfId="0" applyFont="1" applyBorder="1" applyAlignment="1" applyProtection="1">
      <alignment horizontal="left" vertical="center"/>
      <protection/>
    </xf>
    <xf numFmtId="0" fontId="9" fillId="2" borderId="111" xfId="0" applyFont="1" applyBorder="1" applyAlignment="1" applyProtection="1">
      <alignment horizontal="left" vertical="center"/>
      <protection/>
    </xf>
    <xf numFmtId="0" fontId="9" fillId="2" borderId="112" xfId="0" applyFont="1" applyBorder="1" applyAlignment="1" applyProtection="1">
      <alignment horizontal="left" vertical="center"/>
      <protection/>
    </xf>
    <xf numFmtId="0" fontId="19" fillId="2" borderId="76" xfId="0" applyFont="1" applyBorder="1" applyAlignment="1" applyProtection="1">
      <alignment horizontal="left" vertical="center"/>
      <protection/>
    </xf>
    <xf numFmtId="37" fontId="50" fillId="35" borderId="30" xfId="71" applyBorder="1">
      <alignment horizontal="right"/>
      <protection locked="0"/>
    </xf>
    <xf numFmtId="37" fontId="50" fillId="35" borderId="113" xfId="71" applyBorder="1">
      <alignment horizontal="right"/>
      <protection locked="0"/>
    </xf>
    <xf numFmtId="37" fontId="50" fillId="35" borderId="64" xfId="71" applyBorder="1">
      <alignment horizontal="right"/>
      <protection locked="0"/>
    </xf>
    <xf numFmtId="37" fontId="50" fillId="35" borderId="114" xfId="71" applyBorder="1">
      <alignment horizontal="right"/>
      <protection locked="0"/>
    </xf>
    <xf numFmtId="37" fontId="50" fillId="35" borderId="5" xfId="71" applyBorder="1">
      <alignment horizontal="right"/>
      <protection locked="0"/>
    </xf>
    <xf numFmtId="0" fontId="9" fillId="2" borderId="1" xfId="0" applyFont="1" applyAlignment="1" applyProtection="1">
      <alignment horizontal="left"/>
      <protection/>
    </xf>
    <xf numFmtId="0" fontId="0" fillId="2" borderId="1" xfId="0" applyFont="1" applyAlignment="1">
      <alignment horizontal="left" vertical="center"/>
    </xf>
    <xf numFmtId="38" fontId="55" fillId="31" borderId="5" xfId="68" applyNumberFormat="1">
      <alignment/>
      <protection/>
    </xf>
    <xf numFmtId="37" fontId="36" fillId="31" borderId="5" xfId="47" applyAlignment="1">
      <alignment horizontal="center"/>
      <protection/>
    </xf>
    <xf numFmtId="0" fontId="33" fillId="37" borderId="0" xfId="64" applyFont="1" applyAlignment="1">
      <alignment vertical="center"/>
      <protection/>
    </xf>
    <xf numFmtId="0" fontId="10" fillId="33" borderId="115" xfId="78" applyBorder="1" applyAlignment="1">
      <alignment vertical="center"/>
      <protection/>
    </xf>
    <xf numFmtId="0" fontId="51" fillId="33" borderId="108" xfId="0" applyFont="1" applyFill="1" applyBorder="1" applyAlignment="1" applyProtection="1">
      <alignment/>
      <protection/>
    </xf>
    <xf numFmtId="0" fontId="10" fillId="33" borderId="115" xfId="78" applyFont="1" applyBorder="1" applyAlignment="1">
      <alignment vertical="center"/>
      <protection/>
    </xf>
    <xf numFmtId="0" fontId="13" fillId="2" borderId="1" xfId="0" applyFont="1" applyAlignment="1" applyProtection="1">
      <alignment horizontal="left"/>
      <protection/>
    </xf>
    <xf numFmtId="0" fontId="0" fillId="2" borderId="116" xfId="0" applyBorder="1" applyAlignment="1">
      <alignment/>
    </xf>
    <xf numFmtId="0" fontId="0" fillId="2" borderId="117" xfId="61" applyBorder="1">
      <alignment horizontal="right"/>
      <protection locked="0"/>
    </xf>
    <xf numFmtId="38" fontId="55" fillId="31" borderId="5" xfId="68" applyBorder="1">
      <alignment/>
      <protection/>
    </xf>
    <xf numFmtId="0" fontId="0" fillId="2" borderId="118" xfId="0" applyBorder="1" applyAlignment="1">
      <alignment/>
    </xf>
    <xf numFmtId="38" fontId="19" fillId="41" borderId="119" xfId="0" applyNumberFormat="1" applyFont="1" applyFill="1" applyBorder="1" applyAlignment="1" applyProtection="1">
      <alignment horizontal="right" vertical="center"/>
      <protection/>
    </xf>
    <xf numFmtId="0" fontId="12" fillId="2" borderId="1" xfId="0" applyFont="1" applyAlignment="1" applyProtection="1">
      <alignment vertical="center"/>
      <protection/>
    </xf>
    <xf numFmtId="0" fontId="26" fillId="2" borderId="1" xfId="0" applyFont="1" applyAlignment="1">
      <alignment vertical="center"/>
    </xf>
    <xf numFmtId="0" fontId="0" fillId="2" borderId="10" xfId="61" applyFont="1">
      <alignment horizontal="right"/>
      <protection locked="0"/>
    </xf>
    <xf numFmtId="0" fontId="0" fillId="2" borderId="1" xfId="0" applyAlignment="1">
      <alignment horizontal="right" vertical="center"/>
    </xf>
    <xf numFmtId="0" fontId="0" fillId="2" borderId="10" xfId="61" applyFont="1" applyProtection="1">
      <alignment horizontal="right"/>
      <protection/>
    </xf>
    <xf numFmtId="37" fontId="24" fillId="39" borderId="120" xfId="81" applyBorder="1" applyAlignment="1">
      <alignment horizontal="center" vertical="center"/>
      <protection/>
    </xf>
    <xf numFmtId="0" fontId="10" fillId="33" borderId="115" xfId="78" applyFont="1" applyBorder="1" applyAlignment="1" applyProtection="1">
      <alignment vertical="center"/>
      <protection/>
    </xf>
    <xf numFmtId="37" fontId="0" fillId="36" borderId="5" xfId="63" applyNumberFormat="1" applyFont="1" applyBorder="1" applyAlignment="1" applyProtection="1">
      <alignment horizontal="right" vertical="center"/>
      <protection/>
    </xf>
    <xf numFmtId="37" fontId="36" fillId="31" borderId="121" xfId="47" applyBorder="1">
      <alignment horizontal="right"/>
      <protection/>
    </xf>
    <xf numFmtId="37" fontId="36" fillId="31" borderId="120" xfId="47" applyBorder="1">
      <alignment horizontal="right"/>
      <protection/>
    </xf>
    <xf numFmtId="37" fontId="0" fillId="36" borderId="5" xfId="63" applyNumberFormat="1" applyBorder="1" applyAlignment="1" applyProtection="1">
      <alignment horizontal="right" vertical="center"/>
      <protection/>
    </xf>
    <xf numFmtId="38" fontId="55" fillId="31" borderId="85" xfId="68" applyNumberFormat="1" applyBorder="1">
      <alignment/>
      <protection/>
    </xf>
    <xf numFmtId="38" fontId="54" fillId="31" borderId="103" xfId="68" applyFont="1" applyBorder="1">
      <alignment/>
      <protection/>
    </xf>
    <xf numFmtId="0" fontId="0" fillId="36" borderId="5" xfId="63" applyBorder="1" applyAlignment="1" applyProtection="1">
      <alignment horizontal="right" vertical="center"/>
      <protection/>
    </xf>
    <xf numFmtId="0" fontId="38" fillId="2" borderId="1" xfId="0" applyFont="1" applyAlignment="1" applyProtection="1">
      <alignment/>
      <protection/>
    </xf>
    <xf numFmtId="0" fontId="9" fillId="2" borderId="1" xfId="0" applyFont="1" applyAlignment="1" applyProtection="1">
      <alignment/>
      <protection/>
    </xf>
    <xf numFmtId="0" fontId="33" fillId="37" borderId="0" xfId="64" applyAlignment="1" applyProtection="1">
      <alignment vertical="center"/>
      <protection/>
    </xf>
    <xf numFmtId="0" fontId="0" fillId="2" borderId="1" xfId="0" applyAlignment="1" applyProtection="1">
      <alignment vertical="center"/>
      <protection/>
    </xf>
    <xf numFmtId="0" fontId="9" fillId="2" borderId="28" xfId="0" applyFont="1" applyBorder="1" applyAlignment="1" applyProtection="1">
      <alignment horizontal="center" vertical="center"/>
      <protection/>
    </xf>
    <xf numFmtId="37" fontId="36" fillId="31" borderId="5" xfId="47" applyFont="1" applyProtection="1">
      <alignment horizontal="right"/>
      <protection/>
    </xf>
    <xf numFmtId="37" fontId="24" fillId="39" borderId="5" xfId="81" applyAlignment="1" applyProtection="1">
      <alignment horizontal="center" vertical="center"/>
      <protection/>
    </xf>
    <xf numFmtId="0" fontId="53" fillId="2" borderId="6" xfId="48" applyProtection="1">
      <alignment/>
      <protection/>
    </xf>
    <xf numFmtId="0" fontId="2" fillId="33" borderId="0" xfId="57" applyFont="1" applyProtection="1">
      <alignment horizontal="left" vertical="center"/>
      <protection/>
    </xf>
    <xf numFmtId="0" fontId="9" fillId="0" borderId="1" xfId="60" applyAlignment="1">
      <alignment horizontal="right"/>
      <protection/>
    </xf>
    <xf numFmtId="0" fontId="33" fillId="37" borderId="0" xfId="64" applyFont="1" applyAlignment="1" applyProtection="1">
      <alignment vertical="center"/>
      <protection/>
    </xf>
    <xf numFmtId="37" fontId="43" fillId="39" borderId="5" xfId="81" applyFont="1" applyAlignment="1" applyProtection="1">
      <alignment horizontal="center"/>
      <protection/>
    </xf>
    <xf numFmtId="0" fontId="0" fillId="2" borderId="1" xfId="0" applyAlignment="1" applyProtection="1">
      <alignment/>
      <protection/>
    </xf>
    <xf numFmtId="0" fontId="0" fillId="2" borderId="1" xfId="0" applyAlignment="1">
      <alignment/>
    </xf>
    <xf numFmtId="0" fontId="9" fillId="2" borderId="1" xfId="0" applyFont="1" applyAlignment="1" applyProtection="1">
      <alignment horizontal="right"/>
      <protection/>
    </xf>
    <xf numFmtId="184" fontId="50" fillId="35" borderId="5" xfId="73" applyNumberFormat="1" applyAlignment="1">
      <alignment horizontal="center"/>
      <protection locked="0"/>
    </xf>
    <xf numFmtId="37" fontId="9" fillId="31" borderId="5" xfId="74" applyBorder="1" applyProtection="1">
      <alignment horizontal="center"/>
      <protection/>
    </xf>
    <xf numFmtId="0" fontId="9" fillId="2" borderId="1" xfId="0" applyFont="1" applyBorder="1" applyAlignment="1" applyProtection="1">
      <alignment horizontal="center" vertical="center"/>
      <protection/>
    </xf>
    <xf numFmtId="0" fontId="9" fillId="2" borderId="71" xfId="0" applyFont="1" applyBorder="1" applyAlignment="1" applyProtection="1">
      <alignment horizontal="center" vertical="center"/>
      <protection/>
    </xf>
    <xf numFmtId="0" fontId="9" fillId="2" borderId="122" xfId="0" applyFont="1" applyBorder="1" applyAlignment="1" applyProtection="1">
      <alignment vertical="center"/>
      <protection/>
    </xf>
    <xf numFmtId="0" fontId="22" fillId="36" borderId="123" xfId="63" applyFont="1" applyBorder="1" applyAlignment="1">
      <alignment horizontal="center" vertical="center"/>
      <protection locked="0"/>
    </xf>
    <xf numFmtId="0" fontId="9" fillId="2" borderId="124" xfId="0" applyFont="1" applyBorder="1" applyAlignment="1" applyProtection="1">
      <alignment horizontal="center" vertical="center"/>
      <protection/>
    </xf>
    <xf numFmtId="0" fontId="9" fillId="2" borderId="125" xfId="0" applyFont="1" applyBorder="1" applyAlignment="1" applyProtection="1">
      <alignment horizontal="center" vertical="center"/>
      <protection/>
    </xf>
    <xf numFmtId="0" fontId="9" fillId="2" borderId="126" xfId="0" applyFont="1" applyBorder="1" applyAlignment="1" applyProtection="1">
      <alignment horizontal="center" vertical="center"/>
      <protection/>
    </xf>
    <xf numFmtId="0" fontId="9" fillId="2" borderId="127" xfId="0" applyFont="1" applyBorder="1" applyAlignment="1" applyProtection="1">
      <alignment horizontal="center" vertical="center"/>
      <protection/>
    </xf>
    <xf numFmtId="0" fontId="53" fillId="2" borderId="122" xfId="48" applyBorder="1">
      <alignment/>
      <protection/>
    </xf>
    <xf numFmtId="0" fontId="53" fillId="2" borderId="1" xfId="48" applyBorder="1">
      <alignment/>
      <protection/>
    </xf>
    <xf numFmtId="174" fontId="13" fillId="0" borderId="1" xfId="69" applyBorder="1" applyAlignment="1">
      <alignment horizontal="center" vertical="center"/>
      <protection/>
    </xf>
    <xf numFmtId="0" fontId="10" fillId="33" borderId="29" xfId="0" applyFont="1" applyFill="1" applyBorder="1" applyAlignment="1" applyProtection="1">
      <alignment vertical="center"/>
      <protection/>
    </xf>
    <xf numFmtId="0" fontId="9" fillId="2" borderId="29" xfId="0" applyFont="1" applyBorder="1" applyAlignment="1" applyProtection="1">
      <alignment horizontal="center" vertical="center"/>
      <protection/>
    </xf>
    <xf numFmtId="0" fontId="53" fillId="2" borderId="71" xfId="48" applyBorder="1">
      <alignment/>
      <protection/>
    </xf>
    <xf numFmtId="174" fontId="13" fillId="0" borderId="71" xfId="69" applyBorder="1" applyAlignment="1">
      <alignment horizontal="center" vertical="center"/>
      <protection/>
    </xf>
    <xf numFmtId="176" fontId="9" fillId="2" borderId="1" xfId="0" applyNumberFormat="1" applyFont="1" applyAlignment="1" applyProtection="1">
      <alignment vertical="center"/>
      <protection/>
    </xf>
    <xf numFmtId="1" fontId="9" fillId="42" borderId="115" xfId="0" applyNumberFormat="1" applyFont="1" applyFill="1" applyBorder="1" applyAlignment="1" applyProtection="1">
      <alignment horizontal="center"/>
      <protection/>
    </xf>
    <xf numFmtId="1" fontId="9" fillId="42" borderId="128" xfId="0" applyNumberFormat="1" applyFont="1" applyFill="1" applyBorder="1" applyAlignment="1" applyProtection="1">
      <alignment horizontal="center"/>
      <protection/>
    </xf>
    <xf numFmtId="1" fontId="9" fillId="42" borderId="84" xfId="0" applyNumberFormat="1" applyFont="1" applyFill="1" applyBorder="1" applyAlignment="1" applyProtection="1">
      <alignment horizontal="center"/>
      <protection/>
    </xf>
    <xf numFmtId="1" fontId="9" fillId="42" borderId="52" xfId="0" applyNumberFormat="1" applyFont="1" applyFill="1" applyBorder="1" applyAlignment="1" applyProtection="1">
      <alignment horizontal="center"/>
      <protection/>
    </xf>
    <xf numFmtId="1" fontId="9" fillId="42" borderId="129" xfId="0" applyNumberFormat="1" applyFont="1" applyFill="1" applyBorder="1" applyAlignment="1" applyProtection="1">
      <alignment horizontal="center"/>
      <protection/>
    </xf>
    <xf numFmtId="1" fontId="9" fillId="42" borderId="130" xfId="0" applyNumberFormat="1" applyFont="1" applyFill="1" applyBorder="1" applyAlignment="1" applyProtection="1">
      <alignment horizontal="center"/>
      <protection/>
    </xf>
    <xf numFmtId="37" fontId="9" fillId="41" borderId="28" xfId="0" applyNumberFormat="1" applyFont="1" applyFill="1" applyBorder="1" applyAlignment="1" applyProtection="1">
      <alignment horizontal="right" vertical="center"/>
      <protection/>
    </xf>
    <xf numFmtId="0" fontId="22" fillId="2" borderId="1" xfId="0" applyFont="1" applyAlignment="1">
      <alignment vertical="center"/>
    </xf>
    <xf numFmtId="0" fontId="0" fillId="2" borderId="117" xfId="61" applyBorder="1" applyProtection="1">
      <alignment horizontal="right"/>
      <protection/>
    </xf>
    <xf numFmtId="0" fontId="22" fillId="2" borderId="116" xfId="0" applyFont="1" applyBorder="1" applyAlignment="1" applyProtection="1">
      <alignment horizontal="right"/>
      <protection/>
    </xf>
    <xf numFmtId="0" fontId="0" fillId="2" borderId="116" xfId="0" applyBorder="1" applyAlignment="1" applyProtection="1">
      <alignment/>
      <protection/>
    </xf>
    <xf numFmtId="0" fontId="0" fillId="2" borderId="117" xfId="61" applyFont="1" applyBorder="1" applyProtection="1">
      <alignment horizontal="right"/>
      <protection/>
    </xf>
    <xf numFmtId="183" fontId="38" fillId="43" borderId="5" xfId="0" applyNumberFormat="1" applyFont="1" applyFill="1" applyBorder="1" applyAlignment="1" applyProtection="1">
      <alignment vertical="center"/>
      <protection/>
    </xf>
    <xf numFmtId="0" fontId="0" fillId="2" borderId="10" xfId="61" applyFont="1" applyAlignment="1">
      <alignment horizontal="left"/>
      <protection locked="0"/>
    </xf>
    <xf numFmtId="0" fontId="0" fillId="2" borderId="33" xfId="0" applyBorder="1" applyAlignment="1">
      <alignment vertical="center"/>
    </xf>
    <xf numFmtId="0" fontId="12" fillId="2" borderId="28" xfId="0" applyFont="1" applyBorder="1" applyAlignment="1" applyProtection="1">
      <alignment vertical="center"/>
      <protection/>
    </xf>
    <xf numFmtId="0" fontId="22" fillId="2" borderId="117" xfId="61" applyFont="1" applyBorder="1" applyProtection="1">
      <alignment horizontal="right"/>
      <protection/>
    </xf>
    <xf numFmtId="38" fontId="55" fillId="31" borderId="83" xfId="68" applyBorder="1">
      <alignment/>
      <protection/>
    </xf>
    <xf numFmtId="0" fontId="53" fillId="2" borderId="33" xfId="48" applyBorder="1" applyAlignment="1">
      <alignment horizontal="left" wrapText="1"/>
      <protection/>
    </xf>
    <xf numFmtId="0" fontId="31" fillId="0" borderId="0" xfId="59" applyFont="1" applyBorder="1" applyAlignment="1">
      <alignment horizontal="left" vertical="center"/>
      <protection/>
    </xf>
    <xf numFmtId="174" fontId="13" fillId="2" borderId="131" xfId="0" applyNumberFormat="1" applyFont="1" applyBorder="1" applyAlignment="1" applyProtection="1">
      <alignment horizontal="center" vertical="center"/>
      <protection/>
    </xf>
    <xf numFmtId="174" fontId="13" fillId="2" borderId="132" xfId="0" applyNumberFormat="1" applyFont="1" applyBorder="1" applyAlignment="1" applyProtection="1">
      <alignment horizontal="center" vertical="center"/>
      <protection/>
    </xf>
    <xf numFmtId="174" fontId="13" fillId="2" borderId="133" xfId="0" applyNumberFormat="1" applyFont="1" applyBorder="1" applyAlignment="1" applyProtection="1">
      <alignment horizontal="center" vertical="center"/>
      <protection/>
    </xf>
    <xf numFmtId="0" fontId="0" fillId="2" borderId="1" xfId="0" applyAlignment="1">
      <alignment horizontal="left" vertical="center"/>
    </xf>
    <xf numFmtId="0" fontId="14" fillId="2" borderId="134" xfId="0" applyFont="1" applyBorder="1" applyAlignment="1" applyProtection="1">
      <alignment horizontal="center" vertical="center" wrapText="1"/>
      <protection/>
    </xf>
    <xf numFmtId="0" fontId="0" fillId="2" borderId="134" xfId="0" applyBorder="1" applyAlignment="1">
      <alignment horizontal="center" vertical="center"/>
    </xf>
    <xf numFmtId="37" fontId="24" fillId="39" borderId="135" xfId="81" applyBorder="1" applyAlignment="1">
      <alignment horizontal="center" vertical="center"/>
      <protection/>
    </xf>
    <xf numFmtId="37" fontId="24" fillId="39" borderId="24" xfId="81" applyBorder="1" applyAlignment="1">
      <alignment horizontal="center" vertical="center"/>
      <protection/>
    </xf>
    <xf numFmtId="174" fontId="13" fillId="0" borderId="136" xfId="69" applyBorder="1" applyAlignment="1">
      <alignment horizontal="center" vertical="center"/>
      <protection/>
    </xf>
    <xf numFmtId="174" fontId="13" fillId="0" borderId="137" xfId="69" applyBorder="1" applyAlignment="1">
      <alignment horizontal="center" vertical="center"/>
      <protection/>
    </xf>
    <xf numFmtId="0" fontId="30" fillId="2" borderId="71" xfId="0" applyFont="1" applyBorder="1" applyAlignment="1" applyProtection="1">
      <alignment vertical="center"/>
      <protection/>
    </xf>
    <xf numFmtId="174" fontId="13" fillId="0" borderId="131" xfId="69" applyFont="1" applyBorder="1" applyAlignment="1">
      <alignment horizontal="center" vertical="center" wrapText="1"/>
      <protection/>
    </xf>
    <xf numFmtId="174" fontId="13" fillId="0" borderId="131" xfId="69" applyBorder="1" applyAlignment="1">
      <alignment horizontal="center" vertical="center"/>
      <protection/>
    </xf>
    <xf numFmtId="184" fontId="50" fillId="35" borderId="138" xfId="73" applyNumberFormat="1" applyFont="1" applyBorder="1" applyAlignment="1">
      <alignment horizontal="center" vertical="center"/>
      <protection locked="0"/>
    </xf>
    <xf numFmtId="184" fontId="50" fillId="35" borderId="139" xfId="73" applyNumberFormat="1" applyFont="1" applyBorder="1" applyAlignment="1">
      <alignment horizontal="center" vertical="center"/>
      <protection locked="0"/>
    </xf>
    <xf numFmtId="37" fontId="38" fillId="31" borderId="103" xfId="47" applyFont="1" applyBorder="1">
      <alignment horizontal="right"/>
      <protection/>
    </xf>
    <xf numFmtId="37" fontId="38" fillId="31" borderId="120" xfId="47" applyFont="1" applyBorder="1">
      <alignment horizontal="right"/>
      <protection/>
    </xf>
    <xf numFmtId="37" fontId="57" fillId="36" borderId="5" xfId="63" applyNumberFormat="1" applyFont="1" applyBorder="1" applyAlignment="1" applyProtection="1">
      <alignment horizontal="right" vertical="center"/>
      <protection/>
    </xf>
    <xf numFmtId="193" fontId="13" fillId="2" borderId="140" xfId="0" applyNumberFormat="1" applyFont="1" applyBorder="1" applyAlignment="1" applyProtection="1">
      <alignment horizontal="center" vertical="center"/>
      <protection/>
    </xf>
    <xf numFmtId="0" fontId="33" fillId="37" borderId="0" xfId="64">
      <alignment/>
      <protection/>
    </xf>
    <xf numFmtId="0" fontId="0" fillId="2" borderId="10" xfId="61" applyFont="1" applyAlignment="1">
      <alignment horizontal="right"/>
      <protection locked="0"/>
    </xf>
    <xf numFmtId="37" fontId="13" fillId="27" borderId="141" xfId="0" applyNumberFormat="1" applyFont="1" applyFill="1" applyBorder="1" applyAlignment="1" applyProtection="1">
      <alignment horizontal="center" vertical="center"/>
      <protection/>
    </xf>
    <xf numFmtId="0" fontId="13" fillId="44" borderId="142" xfId="0" applyFont="1" applyFill="1" applyBorder="1" applyAlignment="1" applyProtection="1">
      <alignment horizontal="center"/>
      <protection/>
    </xf>
    <xf numFmtId="0" fontId="13" fillId="44" borderId="142" xfId="0" applyFont="1" applyFill="1" applyBorder="1" applyAlignment="1" applyProtection="1">
      <alignment horizontal="center" vertical="center" wrapText="1"/>
      <protection/>
    </xf>
    <xf numFmtId="37" fontId="13" fillId="27" borderId="143" xfId="0" applyNumberFormat="1" applyFont="1" applyFill="1" applyBorder="1" applyAlignment="1" applyProtection="1">
      <alignment horizontal="center" vertical="center"/>
      <protection/>
    </xf>
    <xf numFmtId="193" fontId="13" fillId="44" borderId="140" xfId="0" applyNumberFormat="1" applyFont="1" applyFill="1" applyBorder="1" applyAlignment="1" applyProtection="1">
      <alignment horizontal="center" vertical="center" wrapText="1"/>
      <protection/>
    </xf>
    <xf numFmtId="174" fontId="13" fillId="2" borderId="14" xfId="0" applyNumberFormat="1" applyFont="1" applyBorder="1" applyAlignment="1" applyProtection="1">
      <alignment horizontal="center" vertical="center" wrapText="1"/>
      <protection/>
    </xf>
    <xf numFmtId="37" fontId="13" fillId="27" borderId="109" xfId="0" applyNumberFormat="1" applyFont="1" applyFill="1" applyBorder="1" applyAlignment="1" applyProtection="1">
      <alignment horizontal="center" vertical="center" wrapText="1"/>
      <protection/>
    </xf>
    <xf numFmtId="37" fontId="61" fillId="45" borderId="5" xfId="81" applyFont="1" applyFill="1" applyAlignment="1">
      <alignment horizontal="left" vertical="center"/>
      <protection/>
    </xf>
    <xf numFmtId="37" fontId="24" fillId="45" borderId="5" xfId="81" applyFill="1" applyAlignment="1">
      <alignment horizontal="center" vertical="center"/>
      <protection/>
    </xf>
    <xf numFmtId="0" fontId="0" fillId="33" borderId="1" xfId="0" applyFill="1" applyAlignment="1">
      <alignment vertical="center"/>
    </xf>
    <xf numFmtId="0" fontId="13" fillId="33" borderId="1" xfId="0" applyFont="1" applyFill="1" applyAlignment="1" applyProtection="1">
      <alignment vertical="center"/>
      <protection/>
    </xf>
    <xf numFmtId="37" fontId="24" fillId="0" borderId="144" xfId="0" applyNumberFormat="1" applyFont="1" applyFill="1" applyBorder="1" applyAlignment="1" applyProtection="1">
      <alignment horizontal="right" vertical="center"/>
      <protection locked="0"/>
    </xf>
    <xf numFmtId="37" fontId="24" fillId="0" borderId="145" xfId="0" applyNumberFormat="1" applyFont="1" applyFill="1" applyBorder="1" applyAlignment="1" applyProtection="1">
      <alignment horizontal="right" vertical="center"/>
      <protection locked="0"/>
    </xf>
    <xf numFmtId="38" fontId="36" fillId="31" borderId="85" xfId="67" applyNumberFormat="1" applyFont="1" applyBorder="1">
      <alignment horizontal="right"/>
      <protection/>
    </xf>
    <xf numFmtId="38" fontId="36" fillId="31" borderId="103" xfId="67" applyNumberFormat="1" applyFont="1" applyBorder="1">
      <alignment horizontal="right"/>
      <protection/>
    </xf>
    <xf numFmtId="38" fontId="36" fillId="31" borderId="146" xfId="67" applyNumberFormat="1" applyFont="1" applyBorder="1">
      <alignment horizontal="right"/>
      <protection/>
    </xf>
    <xf numFmtId="38" fontId="57" fillId="31" borderId="85" xfId="68" applyFont="1" applyBorder="1">
      <alignment/>
      <protection/>
    </xf>
    <xf numFmtId="38" fontId="57" fillId="31" borderId="103" xfId="68" applyFont="1" applyBorder="1">
      <alignment/>
      <protection/>
    </xf>
    <xf numFmtId="38" fontId="57" fillId="31" borderId="146" xfId="68" applyFont="1" applyBorder="1">
      <alignment/>
      <protection/>
    </xf>
    <xf numFmtId="0" fontId="0" fillId="2" borderId="1" xfId="0" applyFont="1" applyBorder="1" applyAlignment="1">
      <alignment/>
    </xf>
    <xf numFmtId="0" fontId="0" fillId="2" borderId="147" xfId="0" applyFont="1" applyBorder="1" applyAlignment="1">
      <alignment/>
    </xf>
    <xf numFmtId="0" fontId="62" fillId="33" borderId="108" xfId="0" applyFont="1" applyFill="1" applyBorder="1" applyAlignment="1" applyProtection="1">
      <alignment/>
      <protection/>
    </xf>
    <xf numFmtId="0" fontId="62" fillId="33" borderId="148" xfId="0" applyFont="1" applyFill="1" applyBorder="1" applyAlignment="1" applyProtection="1">
      <alignment/>
      <protection/>
    </xf>
    <xf numFmtId="38" fontId="57" fillId="31" borderId="5" xfId="68" applyFont="1" applyBorder="1">
      <alignment/>
      <protection/>
    </xf>
    <xf numFmtId="38" fontId="38" fillId="31" borderId="103" xfId="67" applyNumberFormat="1" applyFont="1" applyBorder="1">
      <alignment horizontal="right"/>
      <protection/>
    </xf>
    <xf numFmtId="38" fontId="57" fillId="31" borderId="149" xfId="68" applyFont="1" applyBorder="1">
      <alignment/>
      <protection/>
    </xf>
    <xf numFmtId="0" fontId="60" fillId="2" borderId="71" xfId="0" applyFont="1" applyBorder="1" applyAlignment="1">
      <alignment/>
    </xf>
    <xf numFmtId="0" fontId="60" fillId="2" borderId="150" xfId="0" applyFont="1" applyBorder="1" applyAlignment="1">
      <alignment horizontal="center" wrapText="1"/>
    </xf>
    <xf numFmtId="0" fontId="60" fillId="2" borderId="151" xfId="0" applyFont="1" applyBorder="1" applyAlignment="1">
      <alignment/>
    </xf>
    <xf numFmtId="0" fontId="12" fillId="41" borderId="71" xfId="0" applyFont="1" applyFill="1" applyBorder="1" applyAlignment="1" applyProtection="1">
      <alignment horizontal="center" vertical="center"/>
      <protection/>
    </xf>
    <xf numFmtId="0" fontId="60" fillId="2" borderId="152" xfId="0" applyFont="1" applyBorder="1" applyAlignment="1">
      <alignment horizontal="center" wrapText="1"/>
    </xf>
    <xf numFmtId="193" fontId="12" fillId="2" borderId="153" xfId="0" applyNumberFormat="1" applyFont="1" applyBorder="1" applyAlignment="1" applyProtection="1">
      <alignment horizontal="center" vertical="center"/>
      <protection/>
    </xf>
    <xf numFmtId="193" fontId="12" fillId="2" borderId="154" xfId="0" applyNumberFormat="1" applyFont="1" applyBorder="1" applyAlignment="1" applyProtection="1">
      <alignment horizontal="center" vertical="center"/>
      <protection/>
    </xf>
    <xf numFmtId="193" fontId="12" fillId="2" borderId="155" xfId="0" applyNumberFormat="1" applyFont="1" applyBorder="1" applyAlignment="1" applyProtection="1">
      <alignment horizontal="center" vertical="center"/>
      <protection/>
    </xf>
    <xf numFmtId="3" fontId="57" fillId="31" borderId="5" xfId="68" applyNumberFormat="1" applyFont="1">
      <alignment/>
      <protection/>
    </xf>
    <xf numFmtId="38" fontId="36" fillId="31" borderId="5" xfId="67" applyNumberFormat="1" applyFont="1">
      <alignment horizontal="right"/>
      <protection/>
    </xf>
    <xf numFmtId="38" fontId="57" fillId="31" borderId="5" xfId="68" applyFont="1">
      <alignment/>
      <protection/>
    </xf>
    <xf numFmtId="38" fontId="54" fillId="46" borderId="156" xfId="0" applyNumberFormat="1" applyFont="1" applyFill="1" applyBorder="1" applyAlignment="1">
      <alignment/>
    </xf>
    <xf numFmtId="38" fontId="54" fillId="46" borderId="157" xfId="0" applyNumberFormat="1" applyFont="1" applyFill="1" applyBorder="1" applyAlignment="1">
      <alignment/>
    </xf>
    <xf numFmtId="37" fontId="35" fillId="35" borderId="5" xfId="71" applyFont="1" applyAlignment="1">
      <alignment horizontal="right"/>
      <protection locked="0"/>
    </xf>
    <xf numFmtId="0" fontId="16" fillId="41" borderId="1" xfId="0" applyFont="1" applyFill="1" applyAlignment="1" applyProtection="1">
      <alignment horizontal="left"/>
      <protection/>
    </xf>
    <xf numFmtId="0" fontId="13" fillId="2" borderId="1" xfId="0" applyFont="1" applyAlignment="1" applyProtection="1">
      <alignment/>
      <protection/>
    </xf>
    <xf numFmtId="0" fontId="13" fillId="2" borderId="1" xfId="0" applyFont="1" applyAlignment="1" applyProtection="1">
      <alignment horizontal="right"/>
      <protection/>
    </xf>
    <xf numFmtId="178" fontId="29" fillId="31" borderId="5" xfId="68" applyNumberFormat="1" applyFont="1" applyAlignment="1">
      <alignment horizontal="right"/>
      <protection/>
    </xf>
    <xf numFmtId="0" fontId="0" fillId="2" borderId="10" xfId="61" applyAlignment="1">
      <alignment horizontal="right"/>
      <protection locked="0"/>
    </xf>
    <xf numFmtId="37" fontId="50" fillId="35" borderId="5" xfId="71" applyAlignment="1">
      <alignment horizontal="right"/>
      <protection locked="0"/>
    </xf>
    <xf numFmtId="0" fontId="9" fillId="2" borderId="158" xfId="0" applyFont="1" applyBorder="1" applyAlignment="1" applyProtection="1">
      <alignment/>
      <protection/>
    </xf>
    <xf numFmtId="0" fontId="15" fillId="2" borderId="1" xfId="0" applyFont="1" applyAlignment="1" applyProtection="1">
      <alignment horizontal="right"/>
      <protection locked="0"/>
    </xf>
    <xf numFmtId="37" fontId="50" fillId="35" borderId="5" xfId="71" applyAlignment="1" applyProtection="1">
      <alignment horizontal="right"/>
      <protection locked="0"/>
    </xf>
    <xf numFmtId="38" fontId="57" fillId="31" borderId="5" xfId="68" applyFont="1" applyAlignment="1">
      <alignment horizontal="right"/>
      <protection/>
    </xf>
    <xf numFmtId="37" fontId="17" fillId="2" borderId="0" xfId="0" applyNumberFormat="1" applyFont="1" applyBorder="1" applyAlignment="1" applyProtection="1">
      <alignment horizontal="right"/>
      <protection locked="0"/>
    </xf>
    <xf numFmtId="172" fontId="35" fillId="35" borderId="5" xfId="0" applyNumberFormat="1" applyFont="1" applyFill="1" applyBorder="1" applyAlignment="1" applyProtection="1">
      <alignment horizontal="center"/>
      <protection locked="0"/>
    </xf>
    <xf numFmtId="178" fontId="39" fillId="31" borderId="5" xfId="47" applyNumberFormat="1" applyFont="1" applyAlignment="1">
      <alignment horizontal="right"/>
      <protection/>
    </xf>
    <xf numFmtId="14" fontId="9" fillId="2" borderId="1" xfId="0" applyNumberFormat="1" applyFont="1" applyAlignment="1" applyProtection="1">
      <alignment/>
      <protection/>
    </xf>
    <xf numFmtId="0" fontId="16" fillId="41" borderId="1" xfId="0" applyFont="1" applyFill="1" applyAlignment="1" applyProtection="1">
      <alignment horizontal="center"/>
      <protection/>
    </xf>
    <xf numFmtId="0" fontId="0" fillId="2" borderId="1" xfId="0" applyAlignment="1">
      <alignment horizontal="right"/>
    </xf>
    <xf numFmtId="0" fontId="53" fillId="2" borderId="6" xfId="48" applyAlignment="1">
      <alignment/>
      <protection/>
    </xf>
    <xf numFmtId="37" fontId="50" fillId="35" borderId="85" xfId="71" applyBorder="1" applyAlignment="1" applyProtection="1">
      <alignment horizontal="right"/>
      <protection locked="0"/>
    </xf>
    <xf numFmtId="0" fontId="0" fillId="2" borderId="159" xfId="0" applyBorder="1" applyAlignment="1">
      <alignment/>
    </xf>
    <xf numFmtId="0" fontId="22" fillId="2" borderId="160" xfId="0" applyFont="1" applyBorder="1" applyAlignment="1">
      <alignment horizontal="center"/>
    </xf>
    <xf numFmtId="0" fontId="22" fillId="2" borderId="160" xfId="0" applyFont="1" applyBorder="1" applyAlignment="1">
      <alignment horizontal="right"/>
    </xf>
    <xf numFmtId="0" fontId="22" fillId="2" borderId="161" xfId="0" applyFont="1" applyBorder="1" applyAlignment="1">
      <alignment horizontal="right"/>
    </xf>
    <xf numFmtId="0" fontId="0" fillId="2" borderId="1" xfId="0" applyFont="1" applyBorder="1" applyAlignment="1" applyProtection="1">
      <alignment/>
      <protection/>
    </xf>
    <xf numFmtId="3" fontId="9" fillId="2" borderId="162" xfId="0" applyNumberFormat="1" applyFont="1" applyBorder="1" applyAlignment="1" applyProtection="1">
      <alignment/>
      <protection/>
    </xf>
    <xf numFmtId="0" fontId="0" fillId="2" borderId="1" xfId="0" applyBorder="1" applyAlignment="1">
      <alignment/>
    </xf>
    <xf numFmtId="0" fontId="9" fillId="2" borderId="1" xfId="0" applyFont="1" applyBorder="1" applyAlignment="1" applyProtection="1">
      <alignment/>
      <protection/>
    </xf>
    <xf numFmtId="0" fontId="53" fillId="2" borderId="6" xfId="48" applyFont="1" applyAlignment="1">
      <alignment/>
      <protection/>
    </xf>
    <xf numFmtId="38" fontId="55" fillId="31" borderId="85" xfId="68" applyBorder="1" applyAlignment="1">
      <alignment horizontal="right"/>
      <protection/>
    </xf>
    <xf numFmtId="37" fontId="36" fillId="31" borderId="5" xfId="47" applyAlignment="1">
      <alignment horizontal="right"/>
      <protection/>
    </xf>
    <xf numFmtId="0" fontId="9" fillId="2" borderId="163" xfId="0" applyFont="1" applyBorder="1" applyAlignment="1" applyProtection="1">
      <alignment/>
      <protection/>
    </xf>
    <xf numFmtId="0" fontId="9" fillId="2" borderId="164" xfId="0" applyFont="1" applyBorder="1" applyAlignment="1" applyProtection="1">
      <alignment/>
      <protection/>
    </xf>
    <xf numFmtId="3" fontId="13" fillId="2" borderId="165" xfId="0" applyNumberFormat="1" applyFont="1" applyBorder="1" applyAlignment="1" applyProtection="1">
      <alignment/>
      <protection/>
    </xf>
    <xf numFmtId="0" fontId="9" fillId="2" borderId="0" xfId="0" applyFont="1" applyBorder="1" applyAlignment="1" applyProtection="1">
      <alignment horizontal="right"/>
      <protection/>
    </xf>
    <xf numFmtId="0" fontId="13" fillId="2" borderId="166" xfId="0" applyFont="1" applyBorder="1" applyAlignment="1" applyProtection="1">
      <alignment horizontal="right"/>
      <protection/>
    </xf>
    <xf numFmtId="38" fontId="55" fillId="31" borderId="5" xfId="68" applyAlignment="1">
      <alignment/>
      <protection/>
    </xf>
    <xf numFmtId="0" fontId="17" fillId="2" borderId="0" xfId="0" applyFont="1" applyBorder="1" applyAlignment="1" applyProtection="1">
      <alignment/>
      <protection locked="0"/>
    </xf>
    <xf numFmtId="0" fontId="9" fillId="2" borderId="28" xfId="0" applyFont="1" applyBorder="1" applyAlignment="1" applyProtection="1">
      <alignment/>
      <protection/>
    </xf>
    <xf numFmtId="38" fontId="57" fillId="31" borderId="5" xfId="68" applyFont="1" applyAlignment="1">
      <alignment/>
      <protection/>
    </xf>
    <xf numFmtId="37" fontId="9" fillId="2" borderId="1" xfId="0" applyNumberFormat="1" applyFont="1" applyAlignment="1" applyProtection="1">
      <alignment/>
      <protection/>
    </xf>
    <xf numFmtId="9" fontId="50" fillId="35" borderId="5" xfId="71" applyNumberFormat="1" applyAlignment="1">
      <alignment horizontal="right"/>
      <protection locked="0"/>
    </xf>
    <xf numFmtId="37" fontId="54" fillId="31" borderId="5" xfId="67" applyFont="1" applyAlignment="1">
      <alignment horizontal="right"/>
      <protection/>
    </xf>
    <xf numFmtId="0" fontId="9" fillId="0" borderId="1" xfId="60" applyAlignment="1">
      <alignment horizontal="left"/>
      <protection/>
    </xf>
    <xf numFmtId="0" fontId="9" fillId="0" borderId="1" xfId="60" applyFont="1" applyAlignment="1">
      <alignment horizontal="left"/>
      <protection/>
    </xf>
    <xf numFmtId="0" fontId="9" fillId="2" borderId="0" xfId="0" applyFont="1" applyBorder="1" applyAlignment="1" applyProtection="1">
      <alignment/>
      <protection/>
    </xf>
    <xf numFmtId="0" fontId="9" fillId="2" borderId="29" xfId="0" applyFont="1" applyBorder="1" applyAlignment="1" applyProtection="1">
      <alignment/>
      <protection/>
    </xf>
    <xf numFmtId="0" fontId="9" fillId="2" borderId="111" xfId="0" applyFont="1" applyBorder="1" applyAlignment="1" applyProtection="1">
      <alignment horizontal="right"/>
      <protection/>
    </xf>
    <xf numFmtId="0" fontId="29" fillId="2" borderId="1" xfId="0" applyFont="1" applyAlignment="1">
      <alignment/>
    </xf>
    <xf numFmtId="0" fontId="22" fillId="2" borderId="10" xfId="61" applyFont="1" applyAlignment="1">
      <alignment horizontal="right"/>
      <protection locked="0"/>
    </xf>
    <xf numFmtId="0" fontId="11" fillId="2" borderId="1" xfId="0" applyFont="1" applyAlignment="1" applyProtection="1">
      <alignment/>
      <protection/>
    </xf>
    <xf numFmtId="0" fontId="12" fillId="2" borderId="1" xfId="0" applyFont="1" applyAlignment="1" applyProtection="1">
      <alignment/>
      <protection/>
    </xf>
    <xf numFmtId="0" fontId="14" fillId="2" borderId="51" xfId="0" applyFont="1" applyBorder="1" applyAlignment="1" applyProtection="1">
      <alignment/>
      <protection/>
    </xf>
    <xf numFmtId="196" fontId="50" fillId="35" borderId="5" xfId="71" applyNumberFormat="1" applyAlignment="1">
      <alignment horizontal="right"/>
      <protection locked="0"/>
    </xf>
    <xf numFmtId="0" fontId="14" fillId="2" borderId="158" xfId="0" applyFont="1" applyBorder="1" applyAlignment="1" applyProtection="1">
      <alignment/>
      <protection/>
    </xf>
    <xf numFmtId="0" fontId="60" fillId="2" borderId="1" xfId="0" applyFont="1" applyAlignment="1">
      <alignment/>
    </xf>
    <xf numFmtId="38" fontId="0" fillId="2" borderId="1" xfId="0" applyNumberFormat="1" applyAlignment="1">
      <alignment/>
    </xf>
    <xf numFmtId="0" fontId="12" fillId="2" borderId="111" xfId="0" applyFont="1" applyBorder="1" applyAlignment="1" applyProtection="1">
      <alignment horizontal="right"/>
      <protection/>
    </xf>
    <xf numFmtId="6" fontId="57" fillId="31" borderId="5" xfId="68" applyNumberFormat="1" applyFont="1" applyAlignment="1">
      <alignment/>
      <protection/>
    </xf>
    <xf numFmtId="37" fontId="36" fillId="31" borderId="5" xfId="47" applyFont="1" applyAlignment="1">
      <alignment horizontal="left" vertical="center"/>
      <protection/>
    </xf>
    <xf numFmtId="3" fontId="13" fillId="2" borderId="162" xfId="0" applyNumberFormat="1" applyFont="1" applyBorder="1" applyAlignment="1" applyProtection="1">
      <alignment horizontal="right"/>
      <protection/>
    </xf>
    <xf numFmtId="3" fontId="9" fillId="2" borderId="71" xfId="0" applyNumberFormat="1" applyFont="1" applyBorder="1" applyAlignment="1" applyProtection="1">
      <alignment/>
      <protection/>
    </xf>
    <xf numFmtId="3" fontId="13" fillId="2" borderId="71" xfId="0" applyNumberFormat="1" applyFont="1" applyBorder="1" applyAlignment="1" applyProtection="1">
      <alignment horizontal="right"/>
      <protection/>
    </xf>
    <xf numFmtId="37" fontId="61" fillId="39" borderId="5" xfId="81" applyFont="1" applyAlignment="1">
      <alignment horizontal="left" vertical="center"/>
      <protection/>
    </xf>
    <xf numFmtId="0" fontId="38" fillId="2" borderId="1" xfId="0" applyFont="1" applyAlignment="1" applyProtection="1">
      <alignment horizontal="right"/>
      <protection/>
    </xf>
    <xf numFmtId="0" fontId="10" fillId="33" borderId="0" xfId="78" applyFont="1">
      <alignment/>
      <protection/>
    </xf>
    <xf numFmtId="3" fontId="9" fillId="2" borderId="167" xfId="0" applyNumberFormat="1" applyFont="1" applyBorder="1" applyAlignment="1" applyProtection="1">
      <alignment/>
      <protection/>
    </xf>
    <xf numFmtId="3" fontId="9" fillId="2" borderId="168" xfId="0" applyNumberFormat="1" applyFont="1" applyBorder="1" applyAlignment="1" applyProtection="1">
      <alignment/>
      <protection/>
    </xf>
    <xf numFmtId="0" fontId="10" fillId="33" borderId="169" xfId="78" applyBorder="1">
      <alignment/>
      <protection/>
    </xf>
    <xf numFmtId="0" fontId="9" fillId="2" borderId="35" xfId="0" applyFont="1" applyBorder="1" applyAlignment="1" applyProtection="1">
      <alignment/>
      <protection/>
    </xf>
    <xf numFmtId="0" fontId="0" fillId="2" borderId="35" xfId="0" applyBorder="1" applyAlignment="1">
      <alignment vertical="center"/>
    </xf>
    <xf numFmtId="0" fontId="9" fillId="2" borderId="36" xfId="0" applyFont="1" applyBorder="1" applyAlignment="1" applyProtection="1">
      <alignment/>
      <protection/>
    </xf>
    <xf numFmtId="0" fontId="13" fillId="2" borderId="37" xfId="0" applyFont="1" applyBorder="1" applyAlignment="1" applyProtection="1">
      <alignment horizontal="left"/>
      <protection/>
    </xf>
    <xf numFmtId="0" fontId="9" fillId="2" borderId="38" xfId="0" applyFont="1" applyBorder="1" applyAlignment="1" applyProtection="1">
      <alignment/>
      <protection/>
    </xf>
    <xf numFmtId="0" fontId="0" fillId="2" borderId="37" xfId="0" applyBorder="1" applyAlignment="1">
      <alignment vertical="center"/>
    </xf>
    <xf numFmtId="0" fontId="0" fillId="2" borderId="1" xfId="0" applyBorder="1" applyAlignment="1">
      <alignment horizontal="right" vertical="center"/>
    </xf>
    <xf numFmtId="3" fontId="13" fillId="2" borderId="1" xfId="0" applyNumberFormat="1" applyFont="1" applyBorder="1" applyAlignment="1" applyProtection="1">
      <alignment/>
      <protection/>
    </xf>
    <xf numFmtId="0" fontId="17" fillId="2" borderId="1" xfId="0" applyFont="1" applyBorder="1" applyAlignment="1" applyProtection="1">
      <alignment vertical="center"/>
      <protection locked="0"/>
    </xf>
    <xf numFmtId="0" fontId="9" fillId="2" borderId="38" xfId="0" applyFont="1" applyBorder="1" applyAlignment="1" applyProtection="1">
      <alignment vertical="center"/>
      <protection/>
    </xf>
    <xf numFmtId="0" fontId="9" fillId="2" borderId="37" xfId="0" applyFont="1" applyBorder="1" applyAlignment="1" applyProtection="1">
      <alignment horizontal="right" vertical="center"/>
      <protection/>
    </xf>
    <xf numFmtId="0" fontId="0" fillId="2" borderId="44" xfId="0" applyBorder="1" applyAlignment="1">
      <alignment vertical="center"/>
    </xf>
    <xf numFmtId="0" fontId="0" fillId="2" borderId="45" xfId="0" applyBorder="1" applyAlignment="1">
      <alignment vertical="center"/>
    </xf>
    <xf numFmtId="0" fontId="9" fillId="2" borderId="45" xfId="0" applyFont="1" applyBorder="1" applyAlignment="1" applyProtection="1">
      <alignment vertical="center"/>
      <protection/>
    </xf>
    <xf numFmtId="0" fontId="9" fillId="2" borderId="46" xfId="0" applyFont="1" applyBorder="1" applyAlignment="1" applyProtection="1">
      <alignment vertical="center"/>
      <protection/>
    </xf>
    <xf numFmtId="0" fontId="0" fillId="36" borderId="59" xfId="63" applyBorder="1" applyAlignment="1">
      <alignment horizontal="right" vertical="center"/>
      <protection locked="0"/>
    </xf>
    <xf numFmtId="0" fontId="0" fillId="36" borderId="24" xfId="63" applyBorder="1" applyAlignment="1">
      <alignment horizontal="right" vertical="center"/>
      <protection locked="0"/>
    </xf>
    <xf numFmtId="0" fontId="0" fillId="36" borderId="25" xfId="63" applyBorder="1" applyAlignment="1">
      <alignment horizontal="right" vertical="center"/>
      <protection locked="0"/>
    </xf>
    <xf numFmtId="9" fontId="50" fillId="35" borderId="5" xfId="71" applyNumberFormat="1" applyAlignment="1" applyProtection="1">
      <alignment horizontal="right"/>
      <protection locked="0"/>
    </xf>
    <xf numFmtId="49" fontId="36" fillId="31" borderId="25" xfId="67" applyNumberFormat="1" applyFont="1" applyBorder="1" applyAlignment="1">
      <alignment horizontal="right"/>
      <protection/>
    </xf>
    <xf numFmtId="0" fontId="9" fillId="2" borderId="170" xfId="0" applyFont="1" applyBorder="1" applyAlignment="1" applyProtection="1">
      <alignment horizontal="left" vertical="center"/>
      <protection/>
    </xf>
    <xf numFmtId="0" fontId="38" fillId="2" borderId="1" xfId="0" applyFont="1" applyBorder="1" applyAlignment="1" applyProtection="1">
      <alignment horizontal="left"/>
      <protection/>
    </xf>
    <xf numFmtId="37" fontId="36" fillId="31" borderId="84" xfId="47" applyBorder="1">
      <alignment horizontal="right"/>
      <protection/>
    </xf>
    <xf numFmtId="37" fontId="36" fillId="31" borderId="52" xfId="47" applyBorder="1">
      <alignment horizontal="right"/>
      <protection/>
    </xf>
    <xf numFmtId="0" fontId="0" fillId="2" borderId="171" xfId="0" applyBorder="1" applyAlignment="1">
      <alignment/>
    </xf>
    <xf numFmtId="0" fontId="19" fillId="2" borderId="172" xfId="0" applyFont="1" applyBorder="1" applyAlignment="1" applyProtection="1">
      <alignment horizontal="center" wrapText="1"/>
      <protection/>
    </xf>
    <xf numFmtId="0" fontId="54" fillId="2" borderId="44" xfId="0" applyFont="1" applyBorder="1" applyAlignment="1">
      <alignment/>
    </xf>
    <xf numFmtId="194" fontId="36" fillId="31" borderId="173" xfId="67" applyNumberFormat="1" applyFont="1" applyBorder="1">
      <alignment horizontal="right"/>
      <protection/>
    </xf>
    <xf numFmtId="196" fontId="0" fillId="36" borderId="5" xfId="0" applyNumberFormat="1" applyFont="1" applyFill="1" applyBorder="1" applyAlignment="1">
      <alignment/>
    </xf>
    <xf numFmtId="3" fontId="9" fillId="2" borderId="1" xfId="0" applyNumberFormat="1" applyFont="1" applyBorder="1" applyAlignment="1" applyProtection="1">
      <alignment/>
      <protection/>
    </xf>
    <xf numFmtId="0" fontId="36" fillId="47" borderId="1" xfId="0" applyFont="1" applyFill="1" applyAlignment="1" applyProtection="1">
      <alignment vertical="center"/>
      <protection/>
    </xf>
    <xf numFmtId="0" fontId="9" fillId="47" borderId="1" xfId="0" applyFont="1" applyFill="1" applyAlignment="1" applyProtection="1">
      <alignment vertical="center"/>
      <protection/>
    </xf>
    <xf numFmtId="38" fontId="99" fillId="27" borderId="18" xfId="80">
      <alignment vertical="center"/>
      <protection/>
    </xf>
    <xf numFmtId="0" fontId="22" fillId="2" borderId="1" xfId="0" applyFont="1" applyAlignment="1">
      <alignment horizontal="center" vertical="center"/>
    </xf>
    <xf numFmtId="38" fontId="59" fillId="31" borderId="85" xfId="68" applyFont="1" applyBorder="1">
      <alignment/>
      <protection/>
    </xf>
    <xf numFmtId="38" fontId="59" fillId="31" borderId="25" xfId="68" applyFont="1" applyBorder="1">
      <alignment/>
      <protection/>
    </xf>
    <xf numFmtId="38" fontId="99" fillId="27" borderId="174" xfId="80" applyBorder="1">
      <alignment vertical="center"/>
      <protection/>
    </xf>
    <xf numFmtId="37" fontId="45" fillId="2" borderId="175" xfId="0" applyNumberFormat="1" applyFont="1" applyBorder="1" applyAlignment="1">
      <alignment vertical="center"/>
    </xf>
    <xf numFmtId="38" fontId="59" fillId="27" borderId="2" xfId="39">
      <alignment/>
      <protection/>
    </xf>
    <xf numFmtId="0" fontId="0" fillId="2" borderId="71" xfId="0" applyBorder="1" applyAlignment="1">
      <alignment vertical="center"/>
    </xf>
    <xf numFmtId="0" fontId="22" fillId="2" borderId="71" xfId="0" applyFont="1" applyBorder="1" applyAlignment="1">
      <alignment horizontal="center" vertical="center"/>
    </xf>
    <xf numFmtId="37" fontId="50" fillId="35" borderId="176" xfId="71" applyBorder="1">
      <alignment horizontal="right"/>
      <protection locked="0"/>
    </xf>
    <xf numFmtId="37" fontId="50" fillId="35" borderId="57" xfId="71" applyBorder="1">
      <alignment horizontal="right"/>
      <protection locked="0"/>
    </xf>
    <xf numFmtId="10" fontId="50" fillId="35" borderId="5" xfId="71" applyNumberFormat="1" applyBorder="1">
      <alignment horizontal="right"/>
      <protection locked="0"/>
    </xf>
    <xf numFmtId="38" fontId="0" fillId="2" borderId="71" xfId="0" applyNumberFormat="1" applyFont="1" applyBorder="1" applyAlignment="1">
      <alignment/>
    </xf>
    <xf numFmtId="38" fontId="0" fillId="2" borderId="177" xfId="0" applyNumberFormat="1" applyFont="1" applyBorder="1" applyAlignment="1">
      <alignment/>
    </xf>
    <xf numFmtId="38" fontId="0" fillId="2" borderId="151" xfId="0" applyNumberFormat="1" applyFont="1" applyBorder="1" applyAlignment="1">
      <alignment/>
    </xf>
    <xf numFmtId="38" fontId="55" fillId="31" borderId="178" xfId="68" applyBorder="1">
      <alignment/>
      <protection/>
    </xf>
    <xf numFmtId="198" fontId="0" fillId="2" borderId="1" xfId="0" applyNumberFormat="1" applyBorder="1" applyAlignment="1">
      <alignment/>
    </xf>
    <xf numFmtId="38" fontId="59" fillId="27" borderId="179" xfId="39" applyBorder="1">
      <alignment/>
      <protection/>
    </xf>
    <xf numFmtId="38" fontId="59" fillId="27" borderId="2" xfId="39" applyBorder="1">
      <alignment/>
      <protection/>
    </xf>
    <xf numFmtId="198" fontId="0" fillId="2" borderId="1" xfId="0" applyNumberFormat="1" applyAlignment="1">
      <alignment vertical="center"/>
    </xf>
    <xf numFmtId="38" fontId="59" fillId="27" borderId="180" xfId="39" applyBorder="1">
      <alignment/>
      <protection/>
    </xf>
    <xf numFmtId="37" fontId="24" fillId="45" borderId="85" xfId="81" applyFill="1" applyBorder="1" applyAlignment="1">
      <alignment horizontal="center" vertical="center"/>
      <protection/>
    </xf>
    <xf numFmtId="189" fontId="0" fillId="2" borderId="1" xfId="0" applyNumberFormat="1" applyAlignment="1">
      <alignment vertical="center"/>
    </xf>
    <xf numFmtId="189" fontId="0" fillId="2" borderId="1" xfId="0" applyNumberFormat="1" applyBorder="1" applyAlignment="1">
      <alignment/>
    </xf>
    <xf numFmtId="0" fontId="22" fillId="2" borderId="1" xfId="0" applyFont="1" applyAlignment="1">
      <alignment/>
    </xf>
    <xf numFmtId="0" fontId="0" fillId="2" borderId="1" xfId="0" applyAlignment="1">
      <alignment wrapText="1"/>
    </xf>
    <xf numFmtId="0" fontId="22" fillId="2" borderId="1" xfId="0" applyFont="1" applyAlignment="1">
      <alignment wrapText="1"/>
    </xf>
    <xf numFmtId="0" fontId="22" fillId="2" borderId="1" xfId="0" applyFont="1" applyAlignment="1">
      <alignment horizontal="center" wrapText="1"/>
    </xf>
    <xf numFmtId="0" fontId="0" fillId="2" borderId="1" xfId="0" applyAlignment="1">
      <alignment horizontal="center"/>
    </xf>
    <xf numFmtId="0" fontId="22" fillId="2" borderId="1" xfId="0" applyFont="1" applyAlignment="1">
      <alignment horizontal="center"/>
    </xf>
    <xf numFmtId="0" fontId="22" fillId="2" borderId="1" xfId="0" applyFont="1" applyAlignment="1">
      <alignment horizontal="right"/>
    </xf>
    <xf numFmtId="0" fontId="22" fillId="2" borderId="1" xfId="0" applyFont="1" applyAlignment="1">
      <alignment horizontal="right" wrapText="1"/>
    </xf>
    <xf numFmtId="20" fontId="0" fillId="2" borderId="1" xfId="0" applyNumberFormat="1" applyAlignment="1">
      <alignment/>
    </xf>
    <xf numFmtId="0" fontId="22" fillId="48" borderId="1" xfId="0" applyFont="1" applyFill="1" applyAlignment="1">
      <alignment horizontal="center" wrapText="1"/>
    </xf>
    <xf numFmtId="0" fontId="0" fillId="48" borderId="1" xfId="0" applyFill="1" applyAlignment="1">
      <alignment horizontal="center"/>
    </xf>
    <xf numFmtId="37" fontId="9" fillId="2" borderId="28" xfId="0" applyNumberFormat="1" applyFont="1" applyBorder="1" applyAlignment="1" applyProtection="1">
      <alignment vertical="center"/>
      <protection/>
    </xf>
    <xf numFmtId="0" fontId="22" fillId="2" borderId="10" xfId="61" applyFont="1">
      <alignment horizontal="right"/>
      <protection locked="0"/>
    </xf>
    <xf numFmtId="1" fontId="9" fillId="31" borderId="181" xfId="74" applyNumberFormat="1" applyBorder="1" applyAlignment="1">
      <alignment horizontal="center" vertical="center"/>
      <protection/>
    </xf>
    <xf numFmtId="1" fontId="9" fillId="31" borderId="182" xfId="74" applyNumberFormat="1" applyBorder="1" applyAlignment="1">
      <alignment horizontal="center" vertical="center"/>
      <protection/>
    </xf>
    <xf numFmtId="1" fontId="9" fillId="31" borderId="30" xfId="74" applyNumberFormat="1" applyBorder="1" applyAlignment="1">
      <alignment horizontal="center" vertical="center"/>
      <protection/>
    </xf>
    <xf numFmtId="1" fontId="24" fillId="39" borderId="5" xfId="81" applyNumberFormat="1" applyAlignment="1">
      <alignment horizontal="center" vertical="center"/>
      <protection/>
    </xf>
    <xf numFmtId="1" fontId="9" fillId="31" borderId="183" xfId="74" applyNumberFormat="1" applyBorder="1" applyAlignment="1">
      <alignment horizontal="center" vertical="center"/>
      <protection/>
    </xf>
    <xf numFmtId="1" fontId="9" fillId="31" borderId="184" xfId="74" applyNumberFormat="1" applyBorder="1" applyAlignment="1">
      <alignment horizontal="center" vertical="center"/>
      <protection/>
    </xf>
    <xf numFmtId="1" fontId="9" fillId="31" borderId="185" xfId="74" applyNumberFormat="1" applyBorder="1" applyAlignment="1">
      <alignment horizontal="center" vertical="center"/>
      <protection/>
    </xf>
    <xf numFmtId="1" fontId="9" fillId="31" borderId="186" xfId="74" applyNumberFormat="1" applyBorder="1" applyAlignment="1">
      <alignment horizontal="center" vertical="center"/>
      <protection/>
    </xf>
    <xf numFmtId="37" fontId="64" fillId="39" borderId="5" xfId="81" applyFont="1" applyAlignment="1">
      <alignment horizontal="center" vertical="center"/>
      <protection/>
    </xf>
    <xf numFmtId="37" fontId="64" fillId="39" borderId="5" xfId="81" applyFont="1" applyAlignment="1">
      <alignment horizontal="center"/>
      <protection/>
    </xf>
    <xf numFmtId="1" fontId="50" fillId="35" borderId="5" xfId="73" applyNumberFormat="1" applyAlignment="1">
      <alignment horizontal="center" vertical="center"/>
      <protection locked="0"/>
    </xf>
    <xf numFmtId="1" fontId="50" fillId="35" borderId="5" xfId="73" applyNumberFormat="1" applyAlignment="1">
      <alignment horizontal="center"/>
      <protection locked="0"/>
    </xf>
    <xf numFmtId="1" fontId="39" fillId="31" borderId="86" xfId="74" applyNumberFormat="1" applyFont="1" applyBorder="1" applyAlignment="1" applyProtection="1">
      <alignment horizontal="center"/>
      <protection/>
    </xf>
    <xf numFmtId="1" fontId="59" fillId="31" borderId="90" xfId="68" applyNumberFormat="1" applyFont="1" applyBorder="1" applyAlignment="1" applyProtection="1">
      <alignment horizontal="center"/>
      <protection/>
    </xf>
    <xf numFmtId="37" fontId="39" fillId="31" borderId="187" xfId="74" applyNumberFormat="1" applyFont="1" applyBorder="1" applyAlignment="1" applyProtection="1">
      <alignment horizontal="center" vertical="center"/>
      <protection/>
    </xf>
    <xf numFmtId="37" fontId="59" fillId="31" borderId="90" xfId="68" applyNumberFormat="1" applyFont="1" applyBorder="1" applyAlignment="1">
      <alignment horizontal="center"/>
      <protection/>
    </xf>
    <xf numFmtId="37" fontId="39" fillId="31" borderId="86" xfId="74" applyNumberFormat="1" applyFont="1" applyBorder="1" applyAlignment="1">
      <alignment horizontal="center"/>
      <protection/>
    </xf>
    <xf numFmtId="1" fontId="39" fillId="31" borderId="15" xfId="74" applyNumberFormat="1" applyFont="1" applyBorder="1" applyAlignment="1">
      <alignment horizontal="center"/>
      <protection/>
    </xf>
    <xf numFmtId="1" fontId="39" fillId="31" borderId="86" xfId="74" applyNumberFormat="1" applyFont="1" applyBorder="1" applyAlignment="1">
      <alignment horizontal="center"/>
      <protection/>
    </xf>
    <xf numFmtId="1" fontId="39" fillId="31" borderId="90" xfId="74" applyNumberFormat="1" applyFont="1" applyBorder="1" applyAlignment="1">
      <alignment horizontal="center"/>
      <protection/>
    </xf>
    <xf numFmtId="1" fontId="43" fillId="39" borderId="5" xfId="81" applyNumberFormat="1" applyFont="1" applyBorder="1" applyAlignment="1">
      <alignment horizontal="center"/>
      <protection/>
    </xf>
    <xf numFmtId="1" fontId="24" fillId="39" borderId="5" xfId="81" applyNumberFormat="1" applyBorder="1" applyAlignment="1">
      <alignment horizontal="center"/>
      <protection/>
    </xf>
    <xf numFmtId="1" fontId="39" fillId="31" borderId="5" xfId="74" applyNumberFormat="1" applyFont="1" applyBorder="1" applyAlignment="1">
      <alignment horizontal="center"/>
      <protection/>
    </xf>
    <xf numFmtId="1" fontId="39" fillId="31" borderId="85" xfId="74" applyNumberFormat="1" applyFont="1" applyBorder="1" applyAlignment="1">
      <alignment horizontal="center"/>
      <protection/>
    </xf>
    <xf numFmtId="1" fontId="39" fillId="31" borderId="138" xfId="74" applyNumberFormat="1" applyFont="1" applyBorder="1" applyAlignment="1">
      <alignment horizontal="center"/>
      <protection/>
    </xf>
    <xf numFmtId="1" fontId="39" fillId="31" borderId="64" xfId="74" applyNumberFormat="1" applyFont="1" applyBorder="1" applyAlignment="1">
      <alignment horizontal="center"/>
      <protection/>
    </xf>
    <xf numFmtId="1" fontId="39" fillId="31" borderId="11" xfId="74" applyNumberFormat="1" applyFont="1" applyBorder="1" applyAlignment="1">
      <alignment horizontal="center"/>
      <protection/>
    </xf>
    <xf numFmtId="1" fontId="39" fillId="31" borderId="188" xfId="74" applyNumberFormat="1" applyFont="1" applyBorder="1" applyAlignment="1">
      <alignment horizontal="center"/>
      <protection/>
    </xf>
    <xf numFmtId="1" fontId="43" fillId="39" borderId="64" xfId="81" applyNumberFormat="1" applyFont="1" applyBorder="1" applyAlignment="1">
      <alignment horizontal="center"/>
      <protection/>
    </xf>
    <xf numFmtId="1" fontId="24" fillId="39" borderId="64" xfId="81" applyNumberFormat="1" applyBorder="1" applyAlignment="1">
      <alignment horizontal="center"/>
      <protection/>
    </xf>
    <xf numFmtId="37" fontId="24" fillId="39" borderId="189" xfId="81" applyBorder="1" applyAlignment="1">
      <alignment horizontal="center" vertical="center"/>
      <protection/>
    </xf>
    <xf numFmtId="1" fontId="50" fillId="35" borderId="189" xfId="73" applyNumberFormat="1" applyBorder="1" applyAlignment="1">
      <alignment horizontal="center" vertical="center"/>
      <protection locked="0"/>
    </xf>
    <xf numFmtId="1" fontId="9" fillId="31" borderId="190" xfId="74" applyNumberFormat="1" applyBorder="1" applyAlignment="1">
      <alignment horizontal="center" vertical="center"/>
      <protection/>
    </xf>
    <xf numFmtId="1" fontId="9" fillId="31" borderId="191" xfId="74" applyNumberFormat="1" applyBorder="1" applyAlignment="1">
      <alignment horizontal="center" vertical="center"/>
      <protection/>
    </xf>
    <xf numFmtId="1" fontId="9" fillId="31" borderId="192" xfId="74" applyNumberFormat="1" applyBorder="1" applyAlignment="1">
      <alignment horizontal="center" vertical="center"/>
      <protection/>
    </xf>
    <xf numFmtId="37" fontId="24" fillId="39" borderId="192" xfId="81" applyBorder="1" applyAlignment="1">
      <alignment horizontal="center" vertical="center"/>
      <protection/>
    </xf>
    <xf numFmtId="0" fontId="9" fillId="2" borderId="193" xfId="0" applyFont="1" applyBorder="1" applyAlignment="1" applyProtection="1">
      <alignment horizontal="center" vertical="center"/>
      <protection/>
    </xf>
    <xf numFmtId="0" fontId="0" fillId="2" borderId="193" xfId="0" applyBorder="1" applyAlignment="1">
      <alignment vertical="center"/>
    </xf>
    <xf numFmtId="1" fontId="13" fillId="2" borderId="1" xfId="0" applyNumberFormat="1" applyFont="1" applyAlignment="1" applyProtection="1">
      <alignment horizontal="right"/>
      <protection/>
    </xf>
    <xf numFmtId="1" fontId="24" fillId="39" borderId="5" xfId="81" applyNumberFormat="1" applyAlignment="1">
      <alignment horizontal="center"/>
      <protection/>
    </xf>
    <xf numFmtId="1" fontId="9" fillId="2" borderId="1" xfId="0" applyNumberFormat="1" applyFont="1" applyAlignment="1" applyProtection="1">
      <alignment horizontal="center"/>
      <protection/>
    </xf>
    <xf numFmtId="1" fontId="0" fillId="2" borderId="1" xfId="0" applyNumberFormat="1" applyAlignment="1">
      <alignment/>
    </xf>
    <xf numFmtId="1" fontId="39" fillId="31" borderId="64" xfId="47" applyNumberFormat="1" applyFont="1" applyBorder="1" applyAlignment="1">
      <alignment horizontal="center"/>
      <protection/>
    </xf>
    <xf numFmtId="37" fontId="9" fillId="31" borderId="181" xfId="74" applyBorder="1" applyAlignment="1">
      <alignment horizontal="center"/>
      <protection/>
    </xf>
    <xf numFmtId="174" fontId="13" fillId="2" borderId="194" xfId="0" applyNumberFormat="1" applyFont="1" applyBorder="1" applyAlignment="1" applyProtection="1">
      <alignment horizontal="center" vertical="center"/>
      <protection/>
    </xf>
    <xf numFmtId="0" fontId="13" fillId="2" borderId="1" xfId="0" applyFont="1" applyBorder="1" applyAlignment="1" applyProtection="1">
      <alignment wrapText="1"/>
      <protection/>
    </xf>
    <xf numFmtId="0" fontId="0" fillId="2" borderId="1" xfId="0" applyBorder="1" applyAlignment="1">
      <alignment horizontal="right"/>
    </xf>
    <xf numFmtId="37" fontId="52" fillId="35" borderId="5" xfId="73" applyFont="1" applyAlignment="1">
      <alignment horizontal="center" vertical="center"/>
      <protection locked="0"/>
    </xf>
    <xf numFmtId="1" fontId="13" fillId="0" borderId="137" xfId="69" applyNumberFormat="1" applyBorder="1" applyAlignment="1">
      <alignment horizontal="center" vertical="center"/>
      <protection/>
    </xf>
    <xf numFmtId="1" fontId="36" fillId="31" borderId="5" xfId="67" applyNumberFormat="1" applyFont="1" applyAlignment="1">
      <alignment horizontal="center"/>
      <protection/>
    </xf>
    <xf numFmtId="0" fontId="13" fillId="2" borderId="1" xfId="0" applyFont="1" applyBorder="1" applyAlignment="1" applyProtection="1">
      <alignment horizontal="left"/>
      <protection/>
    </xf>
    <xf numFmtId="37" fontId="38" fillId="31" borderId="5" xfId="47" applyFont="1">
      <alignment horizontal="right"/>
      <protection/>
    </xf>
    <xf numFmtId="0" fontId="13" fillId="2" borderId="1" xfId="0" applyFont="1" applyBorder="1" applyAlignment="1" applyProtection="1">
      <alignment/>
      <protection/>
    </xf>
    <xf numFmtId="188" fontId="13" fillId="2" borderId="195" xfId="0" applyNumberFormat="1" applyFont="1" applyBorder="1" applyAlignment="1" applyProtection="1">
      <alignment horizontal="center" vertical="center"/>
      <protection/>
    </xf>
    <xf numFmtId="188" fontId="13" fillId="2" borderId="196" xfId="0" applyNumberFormat="1" applyFont="1" applyBorder="1" applyAlignment="1" applyProtection="1">
      <alignment horizontal="center" vertical="center"/>
      <protection/>
    </xf>
    <xf numFmtId="188" fontId="13" fillId="2" borderId="197" xfId="0" applyNumberFormat="1" applyFont="1" applyBorder="1" applyAlignment="1" applyProtection="1">
      <alignment horizontal="center" vertical="center"/>
      <protection/>
    </xf>
    <xf numFmtId="37" fontId="50" fillId="35" borderId="5" xfId="71" applyFont="1" applyAlignment="1">
      <alignment horizontal="right"/>
      <protection locked="0"/>
    </xf>
    <xf numFmtId="0" fontId="22" fillId="0" borderId="1" xfId="0" applyFont="1" applyFill="1" applyAlignment="1">
      <alignment/>
    </xf>
    <xf numFmtId="0" fontId="0" fillId="0" borderId="1" xfId="0" applyFill="1" applyAlignment="1">
      <alignment vertical="center"/>
    </xf>
    <xf numFmtId="0" fontId="0" fillId="0" borderId="1" xfId="0" applyFill="1" applyAlignment="1">
      <alignment/>
    </xf>
    <xf numFmtId="0" fontId="57" fillId="0" borderId="1" xfId="0" applyFont="1" applyFill="1" applyAlignment="1">
      <alignment/>
    </xf>
    <xf numFmtId="0" fontId="0" fillId="2" borderId="198" xfId="61" applyFont="1" applyBorder="1" applyProtection="1">
      <alignment horizontal="right"/>
      <protection/>
    </xf>
    <xf numFmtId="0" fontId="0" fillId="2" borderId="10" xfId="61" applyFont="1" applyAlignment="1">
      <alignment horizontal="right"/>
      <protection locked="0"/>
    </xf>
    <xf numFmtId="10" fontId="17" fillId="35" borderId="85" xfId="0" applyNumberFormat="1" applyFont="1" applyFill="1" applyBorder="1" applyAlignment="1" applyProtection="1">
      <alignment horizontal="right" vertical="center"/>
      <protection locked="0"/>
    </xf>
    <xf numFmtId="0" fontId="0" fillId="2" borderId="10" xfId="61" applyFont="1" applyAlignment="1">
      <alignment horizontal="left"/>
      <protection locked="0"/>
    </xf>
    <xf numFmtId="37" fontId="50" fillId="35" borderId="11" xfId="73" applyBorder="1" applyProtection="1">
      <alignment horizontal="center"/>
      <protection locked="0"/>
    </xf>
    <xf numFmtId="0" fontId="0" fillId="36" borderId="199" xfId="63" applyFont="1" applyBorder="1" applyAlignment="1">
      <alignment horizontal="right" vertical="center"/>
      <protection locked="0"/>
    </xf>
    <xf numFmtId="0" fontId="0" fillId="36" borderId="68" xfId="63" applyFont="1" applyBorder="1" applyAlignment="1">
      <alignment horizontal="right" vertical="center"/>
      <protection locked="0"/>
    </xf>
    <xf numFmtId="37" fontId="50" fillId="35" borderId="5" xfId="73" applyBorder="1" applyProtection="1">
      <alignment horizontal="center"/>
      <protection locked="0"/>
    </xf>
    <xf numFmtId="37" fontId="50" fillId="35" borderId="103" xfId="71" applyBorder="1" applyProtection="1">
      <alignment horizontal="right"/>
      <protection locked="0"/>
    </xf>
    <xf numFmtId="37" fontId="50" fillId="35" borderId="5" xfId="71" applyProtection="1">
      <alignment horizontal="right"/>
      <protection locked="0"/>
    </xf>
    <xf numFmtId="0" fontId="56" fillId="2" borderId="47" xfId="0" applyFont="1" applyBorder="1" applyAlignment="1" applyProtection="1">
      <alignment horizontal="center"/>
      <protection/>
    </xf>
    <xf numFmtId="0" fontId="56" fillId="2" borderId="33" xfId="0" applyFont="1" applyBorder="1" applyAlignment="1" applyProtection="1">
      <alignment horizontal="center"/>
      <protection/>
    </xf>
    <xf numFmtId="0" fontId="3" fillId="2" borderId="71" xfId="0" applyFont="1" applyBorder="1" applyAlignment="1" applyProtection="1" quotePrefix="1">
      <alignment horizontal="center"/>
      <protection/>
    </xf>
    <xf numFmtId="0" fontId="3" fillId="2" borderId="47" xfId="0" applyFont="1" applyBorder="1" applyAlignment="1" applyProtection="1" quotePrefix="1">
      <alignment horizontal="center"/>
      <protection/>
    </xf>
    <xf numFmtId="0" fontId="3" fillId="2" borderId="33" xfId="0" applyFont="1" applyBorder="1" applyAlignment="1" applyProtection="1" quotePrefix="1">
      <alignment horizontal="center"/>
      <protection/>
    </xf>
    <xf numFmtId="0" fontId="3" fillId="2" borderId="47" xfId="0" applyFont="1" applyBorder="1" applyAlignment="1" applyProtection="1">
      <alignment horizontal="center"/>
      <protection/>
    </xf>
    <xf numFmtId="0" fontId="3" fillId="2" borderId="33" xfId="0" applyFont="1" applyBorder="1" applyAlignment="1" applyProtection="1">
      <alignment horizontal="center"/>
      <protection/>
    </xf>
    <xf numFmtId="0" fontId="65" fillId="2" borderId="71" xfId="0" applyFont="1" applyBorder="1" applyAlignment="1" applyProtection="1">
      <alignment horizontal="center"/>
      <protection/>
    </xf>
    <xf numFmtId="0" fontId="65" fillId="2" borderId="47" xfId="0" applyFont="1" applyBorder="1" applyAlignment="1" applyProtection="1">
      <alignment horizontal="center"/>
      <protection/>
    </xf>
    <xf numFmtId="0" fontId="65" fillId="2" borderId="33" xfId="0" applyFont="1" applyBorder="1" applyAlignment="1" applyProtection="1">
      <alignment horizontal="center"/>
      <protection/>
    </xf>
    <xf numFmtId="0" fontId="63" fillId="33" borderId="71" xfId="0" applyFont="1" applyFill="1" applyBorder="1" applyAlignment="1" applyProtection="1">
      <alignment horizontal="center" vertical="center"/>
      <protection/>
    </xf>
    <xf numFmtId="0" fontId="63" fillId="33" borderId="47" xfId="0" applyFont="1" applyFill="1" applyBorder="1" applyAlignment="1" applyProtection="1">
      <alignment horizontal="center" vertical="center"/>
      <protection/>
    </xf>
    <xf numFmtId="0" fontId="63" fillId="33" borderId="33" xfId="0" applyFont="1" applyFill="1" applyBorder="1" applyAlignment="1" applyProtection="1">
      <alignment horizontal="center" vertical="center"/>
      <protection/>
    </xf>
    <xf numFmtId="0" fontId="57" fillId="2" borderId="200" xfId="0" applyFont="1" applyBorder="1" applyAlignment="1">
      <alignment horizontal="center" vertical="center"/>
    </xf>
    <xf numFmtId="0" fontId="57" fillId="2" borderId="201" xfId="0" applyFont="1" applyBorder="1" applyAlignment="1">
      <alignment horizontal="center" vertical="center"/>
    </xf>
    <xf numFmtId="0" fontId="57" fillId="2" borderId="202" xfId="0" applyFont="1" applyBorder="1" applyAlignment="1">
      <alignment horizontal="center" vertical="center"/>
    </xf>
    <xf numFmtId="0" fontId="101" fillId="2" borderId="203" xfId="48" applyFont="1" applyBorder="1" applyAlignment="1">
      <alignment horizontal="center" vertical="center" wrapText="1"/>
      <protection/>
    </xf>
    <xf numFmtId="0" fontId="53" fillId="2" borderId="203" xfId="48" applyFont="1" applyBorder="1" applyAlignment="1">
      <alignment horizontal="center" vertical="center" wrapText="1"/>
      <protection/>
    </xf>
    <xf numFmtId="0" fontId="53" fillId="2" borderId="204" xfId="48" applyFont="1" applyBorder="1" applyAlignment="1">
      <alignment horizontal="center" vertical="center" wrapText="1"/>
      <protection/>
    </xf>
    <xf numFmtId="0" fontId="57" fillId="49" borderId="205" xfId="0" applyFont="1" applyFill="1" applyBorder="1" applyAlignment="1">
      <alignment horizontal="center"/>
    </xf>
    <xf numFmtId="0" fontId="57" fillId="49" borderId="206" xfId="0" applyFont="1" applyFill="1" applyBorder="1" applyAlignment="1">
      <alignment horizontal="center"/>
    </xf>
    <xf numFmtId="0" fontId="57" fillId="49" borderId="207" xfId="0" applyFont="1" applyFill="1" applyBorder="1" applyAlignment="1">
      <alignment horizontal="center"/>
    </xf>
    <xf numFmtId="0" fontId="14" fillId="41" borderId="208" xfId="0" applyFont="1" applyFill="1" applyBorder="1" applyAlignment="1" applyProtection="1">
      <alignment horizontal="right" vertical="center" wrapText="1"/>
      <protection/>
    </xf>
    <xf numFmtId="0" fontId="0" fillId="2" borderId="209" xfId="0" applyBorder="1" applyAlignment="1">
      <alignment/>
    </xf>
    <xf numFmtId="0" fontId="14" fillId="41" borderId="210" xfId="0" applyFont="1" applyFill="1" applyBorder="1" applyAlignment="1" applyProtection="1">
      <alignment horizontal="right" vertical="center" wrapText="1"/>
      <protection/>
    </xf>
    <xf numFmtId="0" fontId="0" fillId="2" borderId="64" xfId="0" applyBorder="1" applyAlignment="1">
      <alignment horizontal="right" vertical="center" wrapText="1"/>
    </xf>
    <xf numFmtId="0" fontId="63" fillId="33" borderId="211" xfId="0" applyFont="1" applyFill="1" applyBorder="1" applyAlignment="1" applyProtection="1">
      <alignment horizontal="center" vertical="center"/>
      <protection/>
    </xf>
    <xf numFmtId="0" fontId="63" fillId="33" borderId="212" xfId="0" applyFont="1" applyFill="1" applyBorder="1" applyAlignment="1" applyProtection="1">
      <alignment horizontal="center" vertical="center"/>
      <protection/>
    </xf>
    <xf numFmtId="0" fontId="63" fillId="33" borderId="213" xfId="0" applyFont="1" applyFill="1" applyBorder="1" applyAlignment="1" applyProtection="1">
      <alignment horizontal="center" vertical="center"/>
      <protection/>
    </xf>
    <xf numFmtId="0" fontId="46" fillId="2" borderId="167" xfId="0" applyFont="1" applyBorder="1" applyAlignment="1" applyProtection="1">
      <alignment horizontal="center"/>
      <protection/>
    </xf>
    <xf numFmtId="0" fontId="46" fillId="2" borderId="118" xfId="0" applyFont="1" applyBorder="1" applyAlignment="1" applyProtection="1">
      <alignment horizontal="center"/>
      <protection/>
    </xf>
    <xf numFmtId="0" fontId="46" fillId="2" borderId="214" xfId="0" applyFont="1" applyBorder="1" applyAlignment="1" applyProtection="1">
      <alignment horizontal="center"/>
      <protection/>
    </xf>
    <xf numFmtId="0" fontId="53" fillId="2" borderId="47" xfId="48" applyBorder="1" applyAlignment="1">
      <alignment horizontal="left" wrapText="1"/>
      <protection/>
    </xf>
    <xf numFmtId="0" fontId="53" fillId="2" borderId="33" xfId="48" applyBorder="1" applyAlignment="1">
      <alignment horizontal="left" wrapText="1"/>
      <protection/>
    </xf>
    <xf numFmtId="40" fontId="50" fillId="35" borderId="5" xfId="72">
      <alignment horizontal="right"/>
      <protection locked="0"/>
    </xf>
    <xf numFmtId="0" fontId="48" fillId="33" borderId="215" xfId="0" applyFont="1" applyFill="1" applyBorder="1" applyAlignment="1" applyProtection="1">
      <alignment horizontal="left" vertical="center"/>
      <protection/>
    </xf>
    <xf numFmtId="0" fontId="48" fillId="33" borderId="216" xfId="0" applyFont="1" applyFill="1" applyBorder="1" applyAlignment="1" applyProtection="1">
      <alignment horizontal="left" vertical="center"/>
      <protection/>
    </xf>
    <xf numFmtId="0" fontId="48" fillId="33" borderId="217" xfId="0" applyFont="1" applyFill="1" applyBorder="1" applyAlignment="1" applyProtection="1">
      <alignment horizontal="left" vertical="center"/>
      <protection/>
    </xf>
    <xf numFmtId="38" fontId="50" fillId="35" borderId="5" xfId="72" applyNumberFormat="1" applyFont="1">
      <alignment horizontal="right"/>
      <protection locked="0"/>
    </xf>
    <xf numFmtId="38" fontId="50" fillId="35" borderId="5" xfId="72" applyNumberFormat="1">
      <alignment horizontal="right"/>
      <protection locked="0"/>
    </xf>
    <xf numFmtId="0" fontId="17" fillId="35" borderId="218" xfId="62" applyFont="1" applyBorder="1" applyAlignment="1">
      <alignment horizontal="right" vertical="center"/>
      <protection locked="0"/>
    </xf>
    <xf numFmtId="0" fontId="0" fillId="2" borderId="24" xfId="0" applyBorder="1" applyAlignment="1">
      <alignment vertical="center"/>
    </xf>
    <xf numFmtId="0" fontId="0" fillId="2" borderId="25" xfId="0" applyBorder="1" applyAlignment="1">
      <alignment vertical="center"/>
    </xf>
    <xf numFmtId="0" fontId="49" fillId="35" borderId="219" xfId="62" applyBorder="1" applyAlignment="1">
      <alignment horizontal="right"/>
      <protection locked="0"/>
    </xf>
    <xf numFmtId="0" fontId="0" fillId="2" borderId="22" xfId="0" applyBorder="1" applyAlignment="1">
      <alignment/>
    </xf>
    <xf numFmtId="0" fontId="0" fillId="2" borderId="23" xfId="0" applyBorder="1" applyAlignment="1">
      <alignment/>
    </xf>
    <xf numFmtId="0" fontId="19" fillId="2" borderId="220" xfId="0" applyFont="1" applyBorder="1" applyAlignment="1" applyProtection="1">
      <alignment horizontal="center" vertical="center" wrapText="1"/>
      <protection/>
    </xf>
    <xf numFmtId="0" fontId="0" fillId="2" borderId="220" xfId="0" applyBorder="1" applyAlignment="1">
      <alignment vertical="center"/>
    </xf>
    <xf numFmtId="0" fontId="0" fillId="2" borderId="172" xfId="0" applyBorder="1" applyAlignment="1">
      <alignment vertical="center"/>
    </xf>
    <xf numFmtId="174" fontId="13" fillId="35" borderId="30" xfId="69" applyFill="1" applyBorder="1" applyAlignment="1">
      <alignment horizontal="center" wrapText="1"/>
      <protection/>
    </xf>
    <xf numFmtId="174" fontId="13" fillId="35" borderId="131" xfId="69" applyFill="1" applyBorder="1" applyAlignment="1">
      <alignment horizontal="center" wrapText="1"/>
      <protection/>
    </xf>
    <xf numFmtId="174" fontId="13" fillId="35" borderId="186" xfId="69" applyFill="1" applyBorder="1" applyAlignment="1">
      <alignment horizontal="center" wrapText="1"/>
      <protection/>
    </xf>
    <xf numFmtId="0" fontId="19" fillId="2" borderId="221" xfId="0" applyFont="1" applyBorder="1" applyAlignment="1" applyProtection="1">
      <alignment horizontal="center" vertical="center" wrapText="1"/>
      <protection/>
    </xf>
    <xf numFmtId="0" fontId="19" fillId="2" borderId="222" xfId="0" applyFont="1" applyBorder="1" applyAlignment="1" applyProtection="1">
      <alignment horizontal="center" vertical="center" wrapText="1"/>
      <protection/>
    </xf>
    <xf numFmtId="0" fontId="19" fillId="2" borderId="223" xfId="0" applyFont="1" applyBorder="1" applyAlignment="1" applyProtection="1">
      <alignment horizontal="center" vertical="center" wrapText="1"/>
      <protection/>
    </xf>
    <xf numFmtId="0" fontId="14" fillId="2" borderId="224" xfId="0" applyFont="1" applyBorder="1" applyAlignment="1" applyProtection="1">
      <alignment horizontal="center" vertical="center" wrapText="1"/>
      <protection/>
    </xf>
    <xf numFmtId="0" fontId="0" fillId="2" borderId="225" xfId="0" applyBorder="1" applyAlignment="1">
      <alignment horizontal="center" vertical="center"/>
    </xf>
    <xf numFmtId="0" fontId="14" fillId="50" borderId="226" xfId="0" applyFont="1" applyFill="1" applyBorder="1" applyAlignment="1" applyProtection="1">
      <alignment horizontal="center" vertical="center" wrapText="1"/>
      <protection/>
    </xf>
    <xf numFmtId="0" fontId="0" fillId="2" borderId="227" xfId="0" applyBorder="1" applyAlignment="1">
      <alignment horizontal="center" vertical="center"/>
    </xf>
    <xf numFmtId="0" fontId="13" fillId="2" borderId="0" xfId="0" applyFont="1" applyBorder="1" applyAlignment="1" applyProtection="1">
      <alignment horizontal="center" vertical="center" wrapText="1"/>
      <protection/>
    </xf>
    <xf numFmtId="0" fontId="13" fillId="2" borderId="19" xfId="0" applyFont="1" applyBorder="1" applyAlignment="1" applyProtection="1">
      <alignment horizontal="center" vertical="center" wrapText="1"/>
      <protection/>
    </xf>
    <xf numFmtId="174" fontId="13" fillId="35" borderId="30" xfId="69" applyFont="1" applyFill="1" applyBorder="1" applyAlignment="1">
      <alignment horizont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n. Total" xfId="39"/>
    <cellStyle name="Bad" xfId="40"/>
    <cellStyle name="Calculation" xfId="41"/>
    <cellStyle name="Check Cell" xfId="42"/>
    <cellStyle name="Comma" xfId="43"/>
    <cellStyle name="Comma [0]" xfId="44"/>
    <cellStyle name="Currency" xfId="45"/>
    <cellStyle name="Currency [0]" xfId="46"/>
    <cellStyle name="Derived" xfId="47"/>
    <cellStyle name="Direction"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fo" xfId="57"/>
    <cellStyle name="Input" xfId="58"/>
    <cellStyle name="Label" xfId="59"/>
    <cellStyle name="Label Left" xfId="60"/>
    <cellStyle name="Label Right" xfId="61"/>
    <cellStyle name="Label-Enter" xfId="62"/>
    <cellStyle name="Label-Locked" xfId="63"/>
    <cellStyle name="Left Head" xfId="64"/>
    <cellStyle name="Line #" xfId="65"/>
    <cellStyle name="Linked Cell" xfId="66"/>
    <cellStyle name="Locked" xfId="67"/>
    <cellStyle name="Locked Bold" xfId="68"/>
    <cellStyle name="Month-Locked" xfId="69"/>
    <cellStyle name="Neutral" xfId="70"/>
    <cellStyle name="Nmbr-Enter" xfId="71"/>
    <cellStyle name="Nmbr-Enter-Dec" xfId="72"/>
    <cellStyle name="Nmbr-Entr-Cntr" xfId="73"/>
    <cellStyle name="Nmbr-Lock-Cntr" xfId="74"/>
    <cellStyle name="Note" xfId="75"/>
    <cellStyle name="Output" xfId="76"/>
    <cellStyle name="Percent" xfId="77"/>
    <cellStyle name="Subhead" xfId="78"/>
    <cellStyle name="Title" xfId="79"/>
    <cellStyle name="Total" xfId="80"/>
    <cellStyle name="Unused"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123825</xdr:rowOff>
    </xdr:from>
    <xdr:to>
      <xdr:col>9</xdr:col>
      <xdr:colOff>1466850</xdr:colOff>
      <xdr:row>54</xdr:row>
      <xdr:rowOff>47625</xdr:rowOff>
    </xdr:to>
    <xdr:sp>
      <xdr:nvSpPr>
        <xdr:cNvPr id="1" name="Text Box 3"/>
        <xdr:cNvSpPr txBox="1">
          <a:spLocks noChangeArrowheads="1"/>
        </xdr:cNvSpPr>
      </xdr:nvSpPr>
      <xdr:spPr>
        <a:xfrm>
          <a:off x="76200" y="4219575"/>
          <a:ext cx="7600950" cy="8515350"/>
        </a:xfrm>
        <a:prstGeom prst="rect">
          <a:avLst/>
        </a:prstGeom>
        <a:solidFill>
          <a:srgbClr val="FFFFFF"/>
        </a:solidFill>
        <a:ln w="9525" cmpd="sng">
          <a:solidFill>
            <a:srgbClr val="000000"/>
          </a:solidFill>
          <a:headEnd type="none"/>
          <a:tailEnd type="none"/>
        </a:ln>
      </xdr:spPr>
      <xdr:txBody>
        <a:bodyPr vertOverflow="clip" wrap="square" lIns="137160" tIns="137160" rIns="137160" bIns="137160"/>
        <a:p>
          <a:pPr algn="l">
            <a:defRPr/>
          </a:pPr>
          <a:r>
            <a:rPr lang="en-US" cap="none" sz="1100" b="0" i="0" u="none" baseline="0">
              <a:solidFill>
                <a:srgbClr val="000000"/>
              </a:solidFill>
              <a:latin typeface="Arial"/>
              <a:ea typeface="Arial"/>
              <a:cs typeface="Arial"/>
            </a:rPr>
            <a:t>This Financial Plan provides the financial data for the Business and Mission Plan of your proposed ministry.  This Financial Plan consists of four interactive sheets and a 6th sheet of "Miscellaneous Calculations".  They are accessed via the tabs below.  Each sheet and the entire workbook are "Protected" to help avoid losing formulas.  No password is needed to unprotect.  Click on TOOLS/PROTECTION/UNPROTECT.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t>
          </a:r>
          <a:r>
            <a:rPr lang="en-US" cap="none" sz="1100" b="1" i="0" u="none" baseline="0">
              <a:solidFill>
                <a:srgbClr val="000000"/>
              </a:solidFill>
              <a:latin typeface="Arial"/>
              <a:ea typeface="Arial"/>
              <a:cs typeface="Arial"/>
            </a:rPr>
            <a:t>OVERVIEW</a:t>
          </a:r>
          <a:r>
            <a:rPr lang="en-US" cap="none" sz="1100" b="0" i="0" u="none" baseline="0">
              <a:solidFill>
                <a:srgbClr val="000000"/>
              </a:solidFill>
              <a:latin typeface="Arial"/>
              <a:ea typeface="Arial"/>
              <a:cs typeface="Arial"/>
            </a:rPr>
            <a:t> sheet summarizes the results from all the other sheets.  It draws upon those entries and calculations automatically, and does not require entries of its own.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t>
          </a:r>
          <a:r>
            <a:rPr lang="en-US" cap="none" sz="1100" b="1" i="0" u="none" baseline="0">
              <a:solidFill>
                <a:srgbClr val="000000"/>
              </a:solidFill>
              <a:latin typeface="Arial"/>
              <a:ea typeface="Arial"/>
              <a:cs typeface="Arial"/>
            </a:rPr>
            <a:t>MORTGAGE CALC</a:t>
          </a:r>
          <a:r>
            <a:rPr lang="en-US" cap="none" sz="1100" b="0" i="0" u="none" baseline="0">
              <a:solidFill>
                <a:srgbClr val="000000"/>
              </a:solidFill>
              <a:latin typeface="Arial"/>
              <a:ea typeface="Arial"/>
              <a:cs typeface="Arial"/>
            </a:rPr>
            <a:t> sheet provides a means to estimate the amount of your mortgage payment upon completion of your facility.  It also contains the data needed for the Summary in Illustration 9.1.1.1 of the text portion.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t>
          </a:r>
          <a:r>
            <a:rPr lang="en-US" cap="none" sz="1100" b="1" i="0" u="none" baseline="0">
              <a:solidFill>
                <a:srgbClr val="000000"/>
              </a:solidFill>
              <a:latin typeface="Arial"/>
              <a:ea typeface="Arial"/>
              <a:cs typeface="Arial"/>
            </a:rPr>
            <a:t>CC FACTORS</a:t>
          </a:r>
          <a:r>
            <a:rPr lang="en-US" cap="none" sz="1100" b="0" i="0" u="none" baseline="0">
              <a:solidFill>
                <a:srgbClr val="000000"/>
              </a:solidFill>
              <a:latin typeface="Arial"/>
              <a:ea typeface="Arial"/>
              <a:cs typeface="Arial"/>
            </a:rPr>
            <a:t> sheet is where you enter the basic data for the operation of your childcare program.  When you have entered your estimated enrollment, fee schedule, and staffing, the sheet automatically estimates the attendance for the month.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t>
          </a:r>
          <a:r>
            <a:rPr lang="en-US" cap="none" sz="1100" b="1" i="0" u="none" baseline="0">
              <a:solidFill>
                <a:srgbClr val="000000"/>
              </a:solidFill>
              <a:latin typeface="Arial"/>
              <a:ea typeface="Arial"/>
              <a:cs typeface="Arial"/>
            </a:rPr>
            <a:t>CC BUDGET</a:t>
          </a:r>
          <a:r>
            <a:rPr lang="en-US" cap="none" sz="1100" b="0" i="0" u="none" baseline="0">
              <a:solidFill>
                <a:srgbClr val="000000"/>
              </a:solidFill>
              <a:latin typeface="Arial"/>
              <a:ea typeface="Arial"/>
              <a:cs typeface="Arial"/>
            </a:rPr>
            <a:t> sheet uses information from the CC Factors sheet to calculate the registration and tuition income, as well as the payroll.  There is no way, of course, to anticipate space or staffing needs exactly, but it is necessary to make an estimate.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t>
          </a:r>
          <a:r>
            <a:rPr lang="en-US" cap="none" sz="1100" b="1" i="0" u="none" baseline="0">
              <a:solidFill>
                <a:srgbClr val="000000"/>
              </a:solidFill>
              <a:latin typeface="Arial"/>
              <a:ea typeface="Arial"/>
              <a:cs typeface="Arial"/>
            </a:rPr>
            <a:t>MISC. CALC'S</a:t>
          </a:r>
          <a:r>
            <a:rPr lang="en-US" cap="none" sz="1100" b="0" i="0" u="none" baseline="0">
              <a:solidFill>
                <a:srgbClr val="000000"/>
              </a:solidFill>
              <a:latin typeface="Arial"/>
              <a:ea typeface="Arial"/>
              <a:cs typeface="Arial"/>
            </a:rPr>
            <a:t> sheet may be used to provide calculations to determine square footage requirements for rooms at various age levels when enrollment numbers are entered.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Use the results of your Market Research Study to estimate the enrollment after about 12 months of operation.  Then you can ramp up to that amount in the preceding months.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Note that the attendance will always be less than the enrollment due to part time enrollees and general absences.   An experienced childcare director can be helpful in completing this table.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will begin your program with a basic staff to handle initial enrollments, some full time and some part time.  You will need to retain flexibility so staffing can be adjusted during the day as needed to match attendance.  Then staff may be added as enrollment grows from month to month.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Financial Plan calls for input of percentages at key points, which are then used in calculations.  By adjusting these percentages you may view the impact of various factors upon the operating results.  This also allows you to adjust the calculations to reflect your local conditions most accurately.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feel free to contact ELCS with any questions or suggestions.  A document such as this can always be improved or simplified, and we are eager to work with you to accomplish this.  
</a:t>
          </a:r>
          <a:r>
            <a:rPr lang="en-US" cap="none" sz="1100" b="0" i="0" u="none" baseline="0">
              <a:solidFill>
                <a:srgbClr val="000000"/>
              </a:solidFill>
              <a:latin typeface="Arial"/>
              <a:ea typeface="Arial"/>
              <a:cs typeface="Arial"/>
            </a:rPr>
            <a:t>Shelta J. Richardson
</a:t>
          </a:r>
          <a:r>
            <a:rPr lang="en-US" cap="none" sz="1100" b="0" i="0" u="none" baseline="0">
              <a:solidFill>
                <a:srgbClr val="000000"/>
              </a:solidFill>
              <a:latin typeface="Arial"/>
              <a:ea typeface="Arial"/>
              <a:cs typeface="Arial"/>
            </a:rPr>
            <a:t>Senior Consultant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16</xdr:row>
      <xdr:rowOff>28575</xdr:rowOff>
    </xdr:from>
    <xdr:to>
      <xdr:col>7</xdr:col>
      <xdr:colOff>904875</xdr:colOff>
      <xdr:row>19</xdr:row>
      <xdr:rowOff>28575</xdr:rowOff>
    </xdr:to>
    <xdr:sp fLocksText="0">
      <xdr:nvSpPr>
        <xdr:cNvPr id="1" name="Text 2"/>
        <xdr:cNvSpPr txBox="1">
          <a:spLocks noChangeArrowheads="1"/>
        </xdr:cNvSpPr>
      </xdr:nvSpPr>
      <xdr:spPr>
        <a:xfrm>
          <a:off x="6677025" y="3819525"/>
          <a:ext cx="1609725" cy="7143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1" u="none" baseline="0">
              <a:solidFill>
                <a:srgbClr val="000000"/>
              </a:solidFill>
            </a:rPr>
            <a:t>Calculations throughout this Financial Plan are based on this date.</a:t>
          </a:r>
        </a:p>
      </xdr:txBody>
    </xdr:sp>
    <xdr:clientData fLocksWithSheet="0"/>
  </xdr:twoCellAnchor>
  <xdr:twoCellAnchor>
    <xdr:from>
      <xdr:col>0</xdr:col>
      <xdr:colOff>742950</xdr:colOff>
      <xdr:row>2</xdr:row>
      <xdr:rowOff>95250</xdr:rowOff>
    </xdr:from>
    <xdr:to>
      <xdr:col>10</xdr:col>
      <xdr:colOff>228600</xdr:colOff>
      <xdr:row>5</xdr:row>
      <xdr:rowOff>57150</xdr:rowOff>
    </xdr:to>
    <xdr:sp>
      <xdr:nvSpPr>
        <xdr:cNvPr id="2" name="Text Box 90"/>
        <xdr:cNvSpPr txBox="1">
          <a:spLocks noChangeArrowheads="1"/>
        </xdr:cNvSpPr>
      </xdr:nvSpPr>
      <xdr:spPr>
        <a:xfrm>
          <a:off x="742950" y="819150"/>
          <a:ext cx="8839200" cy="476250"/>
        </a:xfrm>
        <a:prstGeom prst="rect">
          <a:avLst/>
        </a:prstGeom>
        <a:solidFill>
          <a:srgbClr val="C7C8C6"/>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Tahoma"/>
              <a:ea typeface="Tahoma"/>
              <a:cs typeface="Tahoma"/>
            </a:rPr>
            <a:t>Directions:</a:t>
          </a:r>
          <a:r>
            <a:rPr lang="en-US" cap="none" sz="1100" b="0" i="0" u="none" baseline="0">
              <a:solidFill>
                <a:srgbClr val="000000"/>
              </a:solidFill>
              <a:latin typeface="Tahoma"/>
              <a:ea typeface="Tahoma"/>
              <a:cs typeface="Tahoma"/>
            </a:rPr>
            <a:t>  Enter amounts in green cells for all related costs as projected to date of closing on the permanent loan. 
</a:t>
          </a:r>
          <a:r>
            <a:rPr lang="en-US" cap="none" sz="1100" b="0" i="0" u="none" baseline="0">
              <a:solidFill>
                <a:srgbClr val="000000"/>
              </a:solidFill>
              <a:latin typeface="Tahoma"/>
              <a:ea typeface="Tahoma"/>
              <a:cs typeface="Tahoma"/>
            </a:rPr>
            <a:t> Deductions from projected loan amount are provided for as well, to reveal the net amount to be borrowed.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60</xdr:row>
      <xdr:rowOff>161925</xdr:rowOff>
    </xdr:from>
    <xdr:to>
      <xdr:col>9</xdr:col>
      <xdr:colOff>142875</xdr:colOff>
      <xdr:row>62</xdr:row>
      <xdr:rowOff>28575</xdr:rowOff>
    </xdr:to>
    <xdr:sp>
      <xdr:nvSpPr>
        <xdr:cNvPr id="1" name="Text Box 300"/>
        <xdr:cNvSpPr txBox="1">
          <a:spLocks noChangeArrowheads="1"/>
        </xdr:cNvSpPr>
      </xdr:nvSpPr>
      <xdr:spPr>
        <a:xfrm>
          <a:off x="4953000" y="14268450"/>
          <a:ext cx="1400175" cy="2857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000000"/>
              </a:solidFill>
              <a:latin typeface="Arial Narrow"/>
              <a:ea typeface="Arial Narrow"/>
              <a:cs typeface="Arial Narrow"/>
            </a:rPr>
            <a:t>Included above</a:t>
          </a:r>
        </a:p>
      </xdr:txBody>
    </xdr:sp>
    <xdr:clientData/>
  </xdr:twoCellAnchor>
  <xdr:twoCellAnchor>
    <xdr:from>
      <xdr:col>4</xdr:col>
      <xdr:colOff>390525</xdr:colOff>
      <xdr:row>67</xdr:row>
      <xdr:rowOff>85725</xdr:rowOff>
    </xdr:from>
    <xdr:to>
      <xdr:col>8</xdr:col>
      <xdr:colOff>266700</xdr:colOff>
      <xdr:row>69</xdr:row>
      <xdr:rowOff>152400</xdr:rowOff>
    </xdr:to>
    <xdr:sp>
      <xdr:nvSpPr>
        <xdr:cNvPr id="2" name="Text Box 301"/>
        <xdr:cNvSpPr txBox="1">
          <a:spLocks noChangeArrowheads="1"/>
        </xdr:cNvSpPr>
      </xdr:nvSpPr>
      <xdr:spPr>
        <a:xfrm>
          <a:off x="3752850" y="15706725"/>
          <a:ext cx="21621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rPr>
            <a:t>Need to account for full time/Part time tchrs if showing enrollment here.</a:t>
          </a:r>
        </a:p>
      </xdr:txBody>
    </xdr:sp>
    <xdr:clientData/>
  </xdr:twoCellAnchor>
  <xdr:twoCellAnchor>
    <xdr:from>
      <xdr:col>4</xdr:col>
      <xdr:colOff>371475</xdr:colOff>
      <xdr:row>74</xdr:row>
      <xdr:rowOff>47625</xdr:rowOff>
    </xdr:from>
    <xdr:to>
      <xdr:col>8</xdr:col>
      <xdr:colOff>257175</xdr:colOff>
      <xdr:row>76</xdr:row>
      <xdr:rowOff>114300</xdr:rowOff>
    </xdr:to>
    <xdr:sp>
      <xdr:nvSpPr>
        <xdr:cNvPr id="3" name="Text Box 302"/>
        <xdr:cNvSpPr txBox="1">
          <a:spLocks noChangeArrowheads="1"/>
        </xdr:cNvSpPr>
      </xdr:nvSpPr>
      <xdr:spPr>
        <a:xfrm>
          <a:off x="3733800" y="17211675"/>
          <a:ext cx="2171700"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rPr>
            <a:t>Need to account for full time/Part time tchrs if showing enrollment here.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66675</xdr:rowOff>
    </xdr:from>
    <xdr:to>
      <xdr:col>19</xdr:col>
      <xdr:colOff>676275</xdr:colOff>
      <xdr:row>40</xdr:row>
      <xdr:rowOff>180975</xdr:rowOff>
    </xdr:to>
    <xdr:sp fLocksText="0">
      <xdr:nvSpPr>
        <xdr:cNvPr id="1" name="Text 6"/>
        <xdr:cNvSpPr txBox="1">
          <a:spLocks noChangeArrowheads="1"/>
        </xdr:cNvSpPr>
      </xdr:nvSpPr>
      <xdr:spPr>
        <a:xfrm>
          <a:off x="66675" y="9963150"/>
          <a:ext cx="15430500" cy="466725"/>
        </a:xfrm>
        <a:prstGeom prst="rect">
          <a:avLst/>
        </a:prstGeom>
        <a:solidFill>
          <a:srgbClr val="DDDDDD"/>
        </a:solidFill>
        <a:ln w="9525" cmpd="sng">
          <a:solidFill>
            <a:srgbClr val="000000"/>
          </a:solidFill>
          <a:headEnd type="none"/>
          <a:tailEnd type="none"/>
        </a:ln>
      </xdr:spPr>
      <xdr:txBody>
        <a:bodyPr vertOverflow="clip" wrap="square" lIns="91440" tIns="18288" rIns="91440" bIns="45720"/>
        <a:p>
          <a:pPr algn="l">
            <a:defRPr/>
          </a:pPr>
          <a:r>
            <a:rPr lang="en-US" cap="none" sz="1100" b="0" i="0" u="none" baseline="0">
              <a:solidFill>
                <a:srgbClr val="000000"/>
              </a:solidFill>
            </a:rPr>
            <a:t>Payroll calculations are based on projected staff needs, as derived from enrollment and attendance figures.  Estimated enrollment is entered by the user on the "CC Factors" sheet, based on the Market Research Study.  Attendance is calculated as a percentage of enrollment which allows for part time attendees.  The percentage is set by the user.  Staffing is based on calculated attendance.</a:t>
          </a:r>
        </a:p>
      </xdr:txBody>
    </xdr:sp>
    <xdr:clientData fLocksWithSheet="0"/>
  </xdr:twoCellAnchor>
  <xdr:twoCellAnchor>
    <xdr:from>
      <xdr:col>0</xdr:col>
      <xdr:colOff>0</xdr:colOff>
      <xdr:row>10</xdr:row>
      <xdr:rowOff>104775</xdr:rowOff>
    </xdr:from>
    <xdr:to>
      <xdr:col>20</xdr:col>
      <xdr:colOff>57150</xdr:colOff>
      <xdr:row>10</xdr:row>
      <xdr:rowOff>752475</xdr:rowOff>
    </xdr:to>
    <xdr:sp fLocksText="0">
      <xdr:nvSpPr>
        <xdr:cNvPr id="2" name="Text 7"/>
        <xdr:cNvSpPr txBox="1">
          <a:spLocks noChangeArrowheads="1"/>
        </xdr:cNvSpPr>
      </xdr:nvSpPr>
      <xdr:spPr>
        <a:xfrm>
          <a:off x="0" y="2962275"/>
          <a:ext cx="15582900" cy="6477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Childcare Tuition</a:t>
          </a:r>
          <a:r>
            <a:rPr lang="en-US" cap="none" sz="1100" b="0" i="0" u="none" baseline="0">
              <a:solidFill>
                <a:srgbClr val="000000"/>
              </a:solidFill>
              <a:latin typeface="Arial"/>
              <a:ea typeface="Arial"/>
              <a:cs typeface="Arial"/>
            </a:rPr>
            <a:t> below (not Pre-K or Kdg) is based on the </a:t>
          </a:r>
          <a:r>
            <a:rPr lang="en-US" cap="none" sz="1100" b="1" i="0" u="none" baseline="0">
              <a:solidFill>
                <a:srgbClr val="000000"/>
              </a:solidFill>
              <a:latin typeface="Arial"/>
              <a:ea typeface="Arial"/>
              <a:cs typeface="Arial"/>
            </a:rPr>
            <a:t>full </a:t>
          </a:r>
          <a:r>
            <a:rPr lang="en-US" cap="none" sz="1100" b="0" i="0" u="none" baseline="0">
              <a:solidFill>
                <a:srgbClr val="000000"/>
              </a:solidFill>
              <a:latin typeface="Arial"/>
              <a:ea typeface="Arial"/>
              <a:cs typeface="Arial"/>
            </a:rPr>
            <a:t>tuition rate for each child enrolled.  But the center may accept childcare enrollees for less than 5 days per week at a reduced tuition level. </a:t>
          </a:r>
          <a:r>
            <a:rPr lang="en-US" cap="none" sz="1100" b="1" i="0" u="none" baseline="0">
              <a:solidFill>
                <a:srgbClr val="000000"/>
              </a:solidFill>
              <a:latin typeface="Arial"/>
              <a:ea typeface="Arial"/>
              <a:cs typeface="Arial"/>
            </a:rPr>
            <a:t> If so, the tuition income projected below should be adjusted downward to be realistic. </a:t>
          </a:r>
          <a:r>
            <a:rPr lang="en-US" cap="none" sz="1100" b="0" i="0" u="none" baseline="0">
              <a:solidFill>
                <a:srgbClr val="000000"/>
              </a:solidFill>
              <a:latin typeface="Arial"/>
              <a:ea typeface="Arial"/>
              <a:cs typeface="Arial"/>
            </a:rPr>
            <a:t> This may be done by entering a figure between 90% and 100% in the green cell below.  The Market Research Study may have provided some indication of the proportion of part-week enrollment to be expected.   As a guide, if about ¼ will be part-week, enter 92%.
</a:t>
          </a:r>
          <a:r>
            <a:rPr lang="en-US" cap="none" sz="1100" b="0" i="0" u="none" baseline="0">
              <a:solidFill>
                <a:srgbClr val="000000"/>
              </a:solidFill>
              <a:latin typeface="Arial"/>
              <a:ea typeface="Arial"/>
              <a:cs typeface="Arial"/>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ransitionEvaluation="1"/>
  <dimension ref="A1:J13"/>
  <sheetViews>
    <sheetView defaultGridColor="0" zoomScale="125" zoomScaleNormal="125" zoomScalePageLayoutView="0" colorId="22" workbookViewId="0" topLeftCell="A1">
      <selection activeCell="K5" sqref="K5"/>
    </sheetView>
  </sheetViews>
  <sheetFormatPr defaultColWidth="9.57421875" defaultRowHeight="16.5"/>
  <cols>
    <col min="1" max="1" width="24.00390625" style="0" customWidth="1"/>
    <col min="2" max="5" width="9.57421875" style="0" customWidth="1"/>
    <col min="6" max="6" width="2.140625" style="0" customWidth="1"/>
    <col min="7" max="9" width="9.57421875" style="0" customWidth="1"/>
    <col min="10" max="10" width="23.421875" style="0" customWidth="1"/>
  </cols>
  <sheetData>
    <row r="1" spans="1:10" ht="34.5">
      <c r="A1" s="638" t="s">
        <v>326</v>
      </c>
      <c r="B1" s="638"/>
      <c r="C1" s="638"/>
      <c r="D1" s="638"/>
      <c r="E1" s="638"/>
      <c r="F1" s="638"/>
      <c r="G1" s="638"/>
      <c r="H1" s="638"/>
      <c r="I1" s="638"/>
      <c r="J1" s="639"/>
    </row>
    <row r="2" spans="1:10" ht="15.75">
      <c r="A2" s="2" t="s">
        <v>362</v>
      </c>
      <c r="B2" s="2"/>
      <c r="C2" s="2"/>
      <c r="D2" s="2"/>
      <c r="E2" s="2"/>
      <c r="F2" s="2"/>
      <c r="G2" s="2"/>
      <c r="H2" s="2"/>
      <c r="I2" s="2"/>
      <c r="J2" s="2"/>
    </row>
    <row r="3" spans="1:10" ht="15.75">
      <c r="A3" s="2" t="s">
        <v>363</v>
      </c>
      <c r="B3" s="2"/>
      <c r="C3" s="2"/>
      <c r="D3" s="2"/>
      <c r="E3" s="2"/>
      <c r="F3" s="2"/>
      <c r="G3" s="2"/>
      <c r="H3" s="2"/>
      <c r="I3" s="2"/>
      <c r="J3" s="2"/>
    </row>
    <row r="4" spans="1:10" ht="13.5">
      <c r="A4" s="640" t="s">
        <v>364</v>
      </c>
      <c r="B4" s="641"/>
      <c r="C4" s="641"/>
      <c r="D4" s="641"/>
      <c r="E4" s="641"/>
      <c r="F4" s="641"/>
      <c r="G4" s="641"/>
      <c r="H4" s="641"/>
      <c r="I4" s="641"/>
      <c r="J4" s="642"/>
    </row>
    <row r="5" spans="1:10" ht="13.5">
      <c r="A5" s="643" t="s">
        <v>365</v>
      </c>
      <c r="B5" s="643"/>
      <c r="C5" s="643"/>
      <c r="D5" s="643"/>
      <c r="E5" s="643"/>
      <c r="F5" s="643"/>
      <c r="G5" s="643"/>
      <c r="H5" s="643"/>
      <c r="I5" s="643"/>
      <c r="J5" s="644"/>
    </row>
    <row r="6" spans="1:10" ht="23.25" customHeight="1">
      <c r="A6" s="645" t="s">
        <v>327</v>
      </c>
      <c r="B6" s="646"/>
      <c r="C6" s="646"/>
      <c r="D6" s="646"/>
      <c r="E6" s="646"/>
      <c r="F6" s="646"/>
      <c r="G6" s="646"/>
      <c r="H6" s="646"/>
      <c r="I6" s="646"/>
      <c r="J6" s="647"/>
    </row>
    <row r="7" spans="1:10" ht="57.75" customHeight="1">
      <c r="A7" s="4" t="s">
        <v>0</v>
      </c>
      <c r="B7" s="1"/>
      <c r="C7" s="1"/>
      <c r="D7" s="1"/>
      <c r="E7" s="1"/>
      <c r="F7" s="1"/>
      <c r="G7" s="1"/>
      <c r="H7" s="3"/>
      <c r="I7" s="1"/>
      <c r="J7" s="1"/>
    </row>
    <row r="8" spans="1:10" ht="18.75" customHeight="1">
      <c r="A8" s="5" t="s">
        <v>1</v>
      </c>
      <c r="B8" s="5"/>
      <c r="C8" s="5"/>
      <c r="D8" s="5"/>
      <c r="E8" s="5"/>
      <c r="F8" s="5"/>
      <c r="G8" s="5"/>
      <c r="H8" s="5"/>
      <c r="I8" s="5"/>
      <c r="J8" s="5"/>
    </row>
    <row r="9" spans="1:10" ht="22.5" customHeight="1">
      <c r="A9" s="6" t="s">
        <v>2</v>
      </c>
      <c r="B9" s="1"/>
      <c r="C9" s="1"/>
      <c r="D9" s="1"/>
      <c r="E9" s="1"/>
      <c r="F9" s="1"/>
      <c r="G9" s="1"/>
      <c r="H9" s="1"/>
      <c r="I9" s="1"/>
      <c r="J9" s="1"/>
    </row>
    <row r="10" spans="1:10" ht="28.5" customHeight="1">
      <c r="A10" s="2"/>
      <c r="B10" s="1"/>
      <c r="C10" s="1"/>
      <c r="D10" s="1"/>
      <c r="E10" s="1"/>
      <c r="F10" s="1"/>
      <c r="G10" s="1"/>
      <c r="H10" s="1"/>
      <c r="I10" s="1"/>
      <c r="J10" s="1"/>
    </row>
    <row r="11" spans="1:10" ht="24.75" customHeight="1">
      <c r="A11" s="2" t="s">
        <v>3</v>
      </c>
      <c r="B11" s="1"/>
      <c r="C11" s="1"/>
      <c r="D11" s="1"/>
      <c r="E11" s="1"/>
      <c r="F11" s="1"/>
      <c r="G11" s="1"/>
      <c r="H11" s="1"/>
      <c r="I11" s="1"/>
      <c r="J11" s="1"/>
    </row>
    <row r="12" spans="1:10" ht="15.75">
      <c r="A12" s="2" t="s">
        <v>328</v>
      </c>
      <c r="B12" s="1"/>
      <c r="C12" s="1"/>
      <c r="D12" s="1"/>
      <c r="E12" s="1"/>
      <c r="F12" s="1"/>
      <c r="G12" s="1"/>
      <c r="H12" s="1"/>
      <c r="I12" s="1"/>
      <c r="J12" s="1"/>
    </row>
    <row r="13" spans="1:10" ht="38.25" customHeight="1">
      <c r="A13" s="6" t="s">
        <v>4</v>
      </c>
      <c r="B13" s="7"/>
      <c r="C13" s="7"/>
      <c r="D13" s="7"/>
      <c r="E13" s="7"/>
      <c r="F13" s="7"/>
      <c r="G13" s="7"/>
      <c r="H13" s="7"/>
      <c r="I13" s="7"/>
      <c r="J13" s="7"/>
    </row>
  </sheetData>
  <sheetProtection/>
  <mergeCells count="4">
    <mergeCell ref="A1:J1"/>
    <mergeCell ref="A4:J4"/>
    <mergeCell ref="A5:J5"/>
    <mergeCell ref="A6:J6"/>
  </mergeCells>
  <printOptions/>
  <pageMargins left="0.75" right="0.8" top="0.5" bottom="0.55" header="0.5" footer="0.5"/>
  <pageSetup horizontalDpi="600" verticalDpi="600" orientation="portrait" scale="75"/>
  <headerFooter alignWithMargins="0">
    <oddFooter>&amp;L&amp;F...&amp;D    Page&amp;P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tabSelected="1" zoomScale="200" zoomScaleNormal="200" zoomScalePageLayoutView="0" workbookViewId="0" topLeftCell="A28">
      <selection activeCell="O9" sqref="O9"/>
    </sheetView>
  </sheetViews>
  <sheetFormatPr defaultColWidth="9.421875" defaultRowHeight="13.5" customHeight="1"/>
  <cols>
    <col min="1" max="1" width="32.8515625" style="24" customWidth="1"/>
    <col min="2" max="2" width="13.57421875" style="24" customWidth="1"/>
    <col min="3" max="5" width="13.421875" style="24" customWidth="1"/>
    <col min="6" max="6" width="16.140625" style="24" customWidth="1"/>
    <col min="7" max="7" width="12.8515625" style="24" customWidth="1"/>
    <col min="8" max="8" width="11.421875" style="24" customWidth="1"/>
    <col min="9" max="9" width="11.140625" style="24" customWidth="1"/>
    <col min="10" max="16384" width="9.421875" style="24" customWidth="1"/>
  </cols>
  <sheetData>
    <row r="1" spans="1:9" ht="39.75" customHeight="1">
      <c r="A1" s="648" t="s">
        <v>343</v>
      </c>
      <c r="B1" s="649"/>
      <c r="C1" s="649"/>
      <c r="D1" s="649"/>
      <c r="E1" s="649"/>
      <c r="F1" s="649"/>
      <c r="G1" s="649"/>
      <c r="H1" s="649"/>
      <c r="I1" s="650"/>
    </row>
    <row r="2" spans="1:9" ht="27.75" customHeight="1" thickBot="1">
      <c r="A2" s="651" t="s">
        <v>156</v>
      </c>
      <c r="B2" s="652"/>
      <c r="C2" s="652"/>
      <c r="D2" s="652"/>
      <c r="E2" s="652"/>
      <c r="F2" s="652"/>
      <c r="G2" s="652"/>
      <c r="H2" s="652"/>
      <c r="I2" s="653"/>
    </row>
    <row r="3" spans="1:9" ht="38.25" customHeight="1" thickBot="1">
      <c r="A3" s="654" t="s">
        <v>197</v>
      </c>
      <c r="B3" s="655"/>
      <c r="C3" s="655"/>
      <c r="D3" s="655"/>
      <c r="E3" s="655"/>
      <c r="F3" s="655"/>
      <c r="G3" s="655"/>
      <c r="H3" s="655"/>
      <c r="I3" s="656"/>
    </row>
    <row r="4" spans="1:9" ht="18.75" customHeight="1">
      <c r="A4" s="295" t="s">
        <v>5</v>
      </c>
      <c r="B4" s="267"/>
      <c r="C4" s="267"/>
      <c r="D4" s="267"/>
      <c r="E4" s="267"/>
      <c r="F4" s="267"/>
      <c r="G4" s="267"/>
      <c r="H4" s="267"/>
      <c r="I4" s="267"/>
    </row>
    <row r="5" spans="1:7" ht="18.75" customHeight="1">
      <c r="A5" s="202" t="s">
        <v>166</v>
      </c>
      <c r="B5" s="426">
        <f>'Mortgage Calc'!$C$9</f>
        <v>0</v>
      </c>
      <c r="C5" s="31"/>
      <c r="F5" s="264" t="s">
        <v>330</v>
      </c>
      <c r="G5" s="525">
        <f>'Mortgage Calc'!$H$14</f>
        <v>44835</v>
      </c>
    </row>
    <row r="6" spans="1:8" ht="18.75" customHeight="1">
      <c r="A6" s="202" t="s">
        <v>158</v>
      </c>
      <c r="B6" s="426">
        <f>'Mortgage Calc'!$C$21</f>
        <v>54000</v>
      </c>
      <c r="H6" s="20"/>
    </row>
    <row r="7" spans="1:2" ht="18.75" customHeight="1">
      <c r="A7" s="202" t="s">
        <v>159</v>
      </c>
      <c r="B7" s="426">
        <f>'Mortgage Calc'!$C$31</f>
        <v>2115000</v>
      </c>
    </row>
    <row r="8" spans="1:5" ht="18.75" customHeight="1">
      <c r="A8" s="202" t="s">
        <v>160</v>
      </c>
      <c r="B8" s="426">
        <f>'Mortgage Calc'!$G$31</f>
        <v>285000</v>
      </c>
      <c r="E8" s="22"/>
    </row>
    <row r="9" spans="1:7" ht="18.75" customHeight="1">
      <c r="A9" s="202" t="s">
        <v>161</v>
      </c>
      <c r="B9" s="426">
        <f>'Mortgage Calc'!$C$37</f>
        <v>6000</v>
      </c>
      <c r="D9" s="202" t="s">
        <v>168</v>
      </c>
      <c r="E9" s="526">
        <f>'Mortgage Calc'!$D$50</f>
        <v>0.0297</v>
      </c>
      <c r="F9" s="426">
        <f>'Mortgage Calc'!$E$49</f>
        <v>30</v>
      </c>
      <c r="G9" s="265" t="s">
        <v>170</v>
      </c>
    </row>
    <row r="10" spans="1:5" ht="18.75" customHeight="1">
      <c r="A10" s="202" t="s">
        <v>162</v>
      </c>
      <c r="B10" s="426">
        <f>'Mortgage Calc'!$C$40</f>
        <v>253800</v>
      </c>
      <c r="E10" s="20"/>
    </row>
    <row r="11" spans="1:5" ht="18.75" customHeight="1">
      <c r="A11" s="202" t="s">
        <v>163</v>
      </c>
      <c r="B11" s="426">
        <f>'Mortgage Calc'!$C$41</f>
        <v>0</v>
      </c>
      <c r="D11" s="662" t="s">
        <v>167</v>
      </c>
      <c r="E11" s="660" t="s">
        <v>169</v>
      </c>
    </row>
    <row r="12" spans="1:5" ht="18.75" customHeight="1">
      <c r="A12" s="202" t="s">
        <v>164</v>
      </c>
      <c r="B12" s="426">
        <f>'Mortgage Calc'!$C$42</f>
        <v>0</v>
      </c>
      <c r="D12" s="663"/>
      <c r="E12" s="661"/>
    </row>
    <row r="13" spans="2:5" ht="18.75" customHeight="1">
      <c r="B13" s="263" t="s">
        <v>165</v>
      </c>
      <c r="C13" s="425">
        <f>'Mortgage Calc'!$D$43</f>
        <v>2713800</v>
      </c>
      <c r="D13" s="425">
        <f>'Mortgage Calc'!$D$48</f>
        <v>2676022.222222222</v>
      </c>
      <c r="E13" s="427">
        <f>'Mortgage Calc'!$E$52</f>
        <v>11238.966470620557</v>
      </c>
    </row>
    <row r="14" spans="1:9" ht="13.5" customHeight="1" thickBot="1">
      <c r="A14" s="27"/>
      <c r="B14" s="27"/>
      <c r="C14" s="27"/>
      <c r="D14" s="27"/>
      <c r="E14" s="27"/>
      <c r="F14" s="27"/>
      <c r="G14" s="27"/>
      <c r="H14" s="27"/>
      <c r="I14" s="27"/>
    </row>
    <row r="15" spans="1:4" ht="18.75" customHeight="1">
      <c r="A15" s="295" t="s">
        <v>266</v>
      </c>
      <c r="B15" s="267"/>
      <c r="C15" s="267"/>
      <c r="D15" s="267"/>
    </row>
    <row r="16" spans="1:10" ht="15" customHeight="1">
      <c r="A16" s="657" t="s">
        <v>344</v>
      </c>
      <c r="B16" s="658"/>
      <c r="C16" s="658"/>
      <c r="D16" s="659"/>
      <c r="E16" s="301"/>
      <c r="J16" s="31"/>
    </row>
    <row r="17" spans="1:10" ht="18.75" customHeight="1">
      <c r="A17" s="298"/>
      <c r="B17" s="417"/>
      <c r="C17" s="418" t="s">
        <v>175</v>
      </c>
      <c r="D17" s="419"/>
      <c r="E17" s="419"/>
      <c r="J17" s="31"/>
    </row>
    <row r="18" spans="1:10" ht="18.75" customHeight="1">
      <c r="A18" s="298"/>
      <c r="B18" s="420" t="s">
        <v>171</v>
      </c>
      <c r="C18" s="421" t="s">
        <v>221</v>
      </c>
      <c r="D18" s="419"/>
      <c r="E18" s="419"/>
      <c r="J18" s="31"/>
    </row>
    <row r="19" spans="1:10" ht="18.75" customHeight="1">
      <c r="A19" s="298"/>
      <c r="B19" s="422">
        <f>'CC Budget'!G44</f>
        <v>44805</v>
      </c>
      <c r="C19" s="423">
        <f>'CC Budget'!T44</f>
        <v>45176</v>
      </c>
      <c r="D19" s="424">
        <f>'CC Budget'!AG44</f>
        <v>45548</v>
      </c>
      <c r="E19" s="424">
        <f>'CC Budget'!AT44</f>
        <v>45908</v>
      </c>
      <c r="J19" s="31"/>
    </row>
    <row r="20" spans="1:10" ht="18.75" customHeight="1">
      <c r="A20" s="358" t="str">
        <f>'CC Budget'!$A$10</f>
        <v>Registration / Materials Fees</v>
      </c>
      <c r="B20" s="404">
        <f>SUM('CC Budget'!$B$10:$G$10)</f>
        <v>0</v>
      </c>
      <c r="C20" s="405">
        <f>'CC Budget'!$U$10</f>
        <v>21500</v>
      </c>
      <c r="D20" s="406">
        <f>'CC Budget'!$AH$10</f>
        <v>25875</v>
      </c>
      <c r="E20" s="406">
        <f>'CC Budget'!$AU$10</f>
        <v>27750</v>
      </c>
      <c r="J20" s="31"/>
    </row>
    <row r="21" spans="1:10" ht="18.75" customHeight="1">
      <c r="A21" s="361" t="s">
        <v>80</v>
      </c>
      <c r="B21" s="404">
        <f>SUM('CC Budget'!B13:G28)</f>
        <v>0</v>
      </c>
      <c r="C21" s="405">
        <f>'CC Budget'!U30</f>
        <v>922249</v>
      </c>
      <c r="D21" s="406">
        <f>SUM('CC Budget'!$AH$13:$AH$28)</f>
        <v>1159339</v>
      </c>
      <c r="E21" s="406">
        <f>SUM('CC Budget'!$AU$13:$AU$28)</f>
        <v>1321217</v>
      </c>
      <c r="J21" s="31"/>
    </row>
    <row r="22" spans="1:10" ht="18.75" customHeight="1">
      <c r="A22" s="361" t="s">
        <v>218</v>
      </c>
      <c r="B22" s="404">
        <f>SUM('CC Budget'!$B$33:$G$34)</f>
        <v>0</v>
      </c>
      <c r="C22" s="405">
        <f>'CC Budget'!U33+'CC Budget'!U34</f>
        <v>0</v>
      </c>
      <c r="D22" s="406">
        <f>SUM('CC Budget'!$AH$33:$AH$34)</f>
        <v>0</v>
      </c>
      <c r="E22" s="406">
        <f>SUM('CC Budget'!$AU$33:$AU$34)</f>
        <v>0</v>
      </c>
      <c r="J22" s="31"/>
    </row>
    <row r="23" spans="1:10" ht="18.75" customHeight="1">
      <c r="A23" s="302" t="str">
        <f>'CC Budget'!$A$36</f>
        <v>    Total Income </v>
      </c>
      <c r="B23" s="407">
        <f>SUM(B20:B22)</f>
        <v>0</v>
      </c>
      <c r="C23" s="408">
        <f>SUM(C20:C22)</f>
        <v>943749</v>
      </c>
      <c r="D23" s="409">
        <f>SUM(D20:D22)</f>
        <v>1185214</v>
      </c>
      <c r="E23" s="409">
        <f>SUM(E20:E22)</f>
        <v>1348967</v>
      </c>
      <c r="G23" s="546"/>
      <c r="J23" s="31"/>
    </row>
    <row r="24" spans="1:10" ht="18.75" customHeight="1">
      <c r="A24" s="299" t="s">
        <v>174</v>
      </c>
      <c r="B24" s="428">
        <f>SUM('CC Budget'!B36:G36)</f>
        <v>0</v>
      </c>
      <c r="C24" s="428">
        <f>'CC Budget'!$U$36</f>
        <v>943749</v>
      </c>
      <c r="D24" s="429">
        <f>'CC Budget'!$AH$36</f>
        <v>1185214</v>
      </c>
      <c r="E24" s="429">
        <f>'CC Budget'!$AU$36</f>
        <v>1348967</v>
      </c>
      <c r="J24" s="31"/>
    </row>
    <row r="25" spans="1:10" ht="18.75" customHeight="1" thickBot="1">
      <c r="A25" s="298"/>
      <c r="B25" s="410"/>
      <c r="C25" s="410"/>
      <c r="D25" s="411"/>
      <c r="E25" s="411"/>
      <c r="J25" s="31"/>
    </row>
    <row r="26" spans="1:10" ht="18.75" customHeight="1">
      <c r="A26" s="295" t="s">
        <v>267</v>
      </c>
      <c r="B26" s="412"/>
      <c r="C26" s="412"/>
      <c r="D26" s="413"/>
      <c r="E26" s="413"/>
      <c r="J26" s="31"/>
    </row>
    <row r="27" spans="1:10" ht="18.75" customHeight="1">
      <c r="A27" s="358" t="str">
        <f>'CC Budget'!$A$44</f>
        <v>Payroll</v>
      </c>
      <c r="B27" s="404">
        <f>SUM('CC Budget'!$B$56:$G$56)</f>
        <v>58911</v>
      </c>
      <c r="C27" s="405">
        <f>'CC Budget'!$U$56</f>
        <v>572308</v>
      </c>
      <c r="D27" s="406">
        <f>'CC Budget'!$AH$56</f>
        <v>727025</v>
      </c>
      <c r="E27" s="406">
        <f>'CC Budget'!$AU$56</f>
        <v>844440</v>
      </c>
      <c r="J27" s="31"/>
    </row>
    <row r="28" spans="1:10" ht="18.75" customHeight="1">
      <c r="A28" s="358" t="str">
        <f>'CC Budget'!$A$58</f>
        <v>Equipmnt-Supplies-Insurance</v>
      </c>
      <c r="B28" s="404">
        <f>SUM('CC Budget'!$B$59:$G$67)</f>
        <v>0</v>
      </c>
      <c r="C28" s="405">
        <f>SUM('CC Budget'!$U$59:$U$67)</f>
        <v>66188</v>
      </c>
      <c r="D28" s="406">
        <f>SUM('CC Budget'!$AH$59:$AH$67)</f>
        <v>83132</v>
      </c>
      <c r="E28" s="406">
        <f>SUM('CC Budget'!$AU$59:$AU$67)</f>
        <v>94958.01999999999</v>
      </c>
      <c r="J28" s="31"/>
    </row>
    <row r="29" spans="1:10" ht="18.75" customHeight="1">
      <c r="A29" s="358" t="str">
        <f>'CC Budget'!$A$68</f>
        <v>Transportation</v>
      </c>
      <c r="B29" s="404">
        <f>SUM('CC Budget'!$B$69:$G$72)</f>
        <v>0</v>
      </c>
      <c r="C29" s="405">
        <f>SUM('CC Budget'!$U$69:$U$72)</f>
        <v>0</v>
      </c>
      <c r="D29" s="406">
        <f>SUM('CC Budget'!$AH$69:$AH$72)</f>
        <v>0</v>
      </c>
      <c r="E29" s="406">
        <f>SUM('CC Budget'!$AU$69:$AU$72)</f>
        <v>0</v>
      </c>
      <c r="J29" s="31"/>
    </row>
    <row r="30" spans="1:10" ht="18.75" customHeight="1">
      <c r="A30" s="361" t="s">
        <v>263</v>
      </c>
      <c r="B30" s="404">
        <f>'CC Budget'!H74</f>
        <v>0</v>
      </c>
      <c r="C30" s="405">
        <f>'CC Budget'!$U$74</f>
        <v>134868</v>
      </c>
      <c r="D30" s="406">
        <f>'CC Budget'!$AH$74</f>
        <v>134868</v>
      </c>
      <c r="E30" s="406">
        <f>'CC Budget'!$AU$74</f>
        <v>134867.59764744664</v>
      </c>
      <c r="J30" s="31"/>
    </row>
    <row r="31" spans="1:10" ht="18.75" customHeight="1">
      <c r="A31" s="361" t="s">
        <v>262</v>
      </c>
      <c r="B31" s="404">
        <f>'CC Budget'!H75</f>
        <v>0</v>
      </c>
      <c r="C31" s="405">
        <f>'CC Budget'!$U$75</f>
        <v>37200</v>
      </c>
      <c r="D31" s="406">
        <f>'CC Budget'!$AH$75</f>
        <v>37200</v>
      </c>
      <c r="E31" s="406">
        <f>'CC Budget'!$AU$75</f>
        <v>37200</v>
      </c>
      <c r="J31" s="31"/>
    </row>
    <row r="32" spans="1:10" ht="18.75" customHeight="1">
      <c r="A32" s="358" t="str">
        <f>'CC Budget'!$A$76</f>
        <v>Marketing &amp; Miscellaneous</v>
      </c>
      <c r="B32" s="404">
        <f>SUM('CC Budget'!$D$77:$G$78)</f>
        <v>0</v>
      </c>
      <c r="C32" s="405">
        <f>SUM('CC Budget'!$U$77:$U$78)</f>
        <v>6000</v>
      </c>
      <c r="D32" s="406">
        <f>SUM('CC Budget'!$AH$77:$AH$78)</f>
        <v>6000</v>
      </c>
      <c r="E32" s="406">
        <f>SUM('CC Budget'!$AU$77:$AU$78)</f>
        <v>6000</v>
      </c>
      <c r="J32" s="31"/>
    </row>
    <row r="33" spans="1:10" ht="18.75" customHeight="1">
      <c r="A33" s="628" t="s">
        <v>341</v>
      </c>
      <c r="B33" s="404">
        <f>'CC Budget'!H81</f>
        <v>0</v>
      </c>
      <c r="C33" s="405">
        <f>'CC Budget'!U81</f>
        <v>0</v>
      </c>
      <c r="D33" s="406">
        <f>'CC Budget'!AH81</f>
        <v>0</v>
      </c>
      <c r="E33" s="406">
        <f>'CC Budget'!AU81</f>
        <v>0</v>
      </c>
      <c r="J33" s="31"/>
    </row>
    <row r="34" spans="1:10" ht="18.75" customHeight="1">
      <c r="A34" s="359" t="str">
        <f>'CC Budget'!$A$83</f>
        <v>Total Expenses...</v>
      </c>
      <c r="B34" s="414">
        <f>ROUNDUP(SUM(B27:B32),0)</f>
        <v>58911</v>
      </c>
      <c r="C34" s="415">
        <f>SUM(C27:C33)</f>
        <v>816564</v>
      </c>
      <c r="D34" s="416">
        <f>SUM(D27:D33)</f>
        <v>988225</v>
      </c>
      <c r="E34" s="416">
        <f>SUM(E27:E33)</f>
        <v>1117465.6176474467</v>
      </c>
      <c r="G34" s="546"/>
      <c r="J34" s="31"/>
    </row>
    <row r="35" spans="1:10" ht="18.75" customHeight="1">
      <c r="A35" s="358" t="s">
        <v>174</v>
      </c>
      <c r="B35" s="428">
        <f>'CC Budget'!H83</f>
        <v>58911</v>
      </c>
      <c r="C35" s="428">
        <f>'CC Budget'!$U$83</f>
        <v>816563</v>
      </c>
      <c r="D35" s="429">
        <f>'CC Budget'!$AH$83</f>
        <v>988225</v>
      </c>
      <c r="E35" s="429">
        <f>'CC Budget'!$AU$83</f>
        <v>1117465.6176474465</v>
      </c>
      <c r="J35" s="31"/>
    </row>
    <row r="36" spans="1:10" ht="18.75" customHeight="1">
      <c r="A36" s="360"/>
      <c r="B36" s="542"/>
      <c r="C36" s="543"/>
      <c r="D36" s="544"/>
      <c r="E36" s="544"/>
      <c r="J36" s="31"/>
    </row>
    <row r="37" spans="1:10" ht="18.75" customHeight="1">
      <c r="A37" s="359" t="s">
        <v>355</v>
      </c>
      <c r="B37" s="407">
        <f>B23-B34</f>
        <v>-58911</v>
      </c>
      <c r="C37" s="408">
        <f>C23-C34</f>
        <v>127185</v>
      </c>
      <c r="D37" s="409">
        <f>D23-D34</f>
        <v>196989</v>
      </c>
      <c r="E37" s="409">
        <f>E23-E34</f>
        <v>231501.3823525533</v>
      </c>
      <c r="J37" s="31"/>
    </row>
    <row r="38" spans="1:10" ht="18.75" customHeight="1">
      <c r="A38" s="366" t="s">
        <v>189</v>
      </c>
      <c r="B38" s="407">
        <f>'CC Budget'!G87</f>
        <v>-58911</v>
      </c>
      <c r="C38" s="408">
        <f>'CC Budget'!$T$87</f>
        <v>68275</v>
      </c>
      <c r="D38" s="409">
        <f>'CC Budget'!AG87</f>
        <v>265264</v>
      </c>
      <c r="E38" s="409">
        <f>'CC Budget'!AT87</f>
        <v>496767</v>
      </c>
      <c r="J38" s="31"/>
    </row>
    <row r="39" ht="13.5" customHeight="1">
      <c r="J39" s="31"/>
    </row>
    <row r="40" ht="13.5" customHeight="1">
      <c r="C40" s="553"/>
    </row>
  </sheetData>
  <sheetProtection password="CE37" sheet="1"/>
  <mergeCells count="6">
    <mergeCell ref="A1:I1"/>
    <mergeCell ref="A2:I2"/>
    <mergeCell ref="A3:I3"/>
    <mergeCell ref="A16:D16"/>
    <mergeCell ref="E11:E12"/>
    <mergeCell ref="D11:D12"/>
  </mergeCells>
  <printOptions/>
  <pageMargins left="0.51" right="0.38" top="1" bottom="1" header="0.5" footer="0.5"/>
  <pageSetup fitToHeight="1" fitToWidth="1" horizontalDpi="600" verticalDpi="600" orientation="portrait" scale="72"/>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L191"/>
  <sheetViews>
    <sheetView defaultGridColor="0" zoomScale="161" zoomScaleNormal="161" zoomScalePageLayoutView="0" colorId="22" workbookViewId="0" topLeftCell="A10">
      <selection activeCell="H34" sqref="H34"/>
    </sheetView>
  </sheetViews>
  <sheetFormatPr defaultColWidth="9.57421875" defaultRowHeight="16.5"/>
  <cols>
    <col min="1" max="1" width="31.421875" style="69" customWidth="1"/>
    <col min="2" max="2" width="12.140625" style="69" customWidth="1"/>
    <col min="3" max="3" width="14.00390625" style="69" customWidth="1"/>
    <col min="4" max="4" width="16.140625" style="69" customWidth="1"/>
    <col min="5" max="5" width="14.421875" style="69" customWidth="1"/>
    <col min="6" max="6" width="10.421875" style="69" customWidth="1"/>
    <col min="7" max="7" width="12.140625" style="69" customWidth="1"/>
    <col min="8" max="8" width="13.57421875" style="69" customWidth="1"/>
    <col min="9" max="9" width="7.8515625" style="69" customWidth="1"/>
    <col min="10" max="10" width="8.140625" style="69" customWidth="1"/>
    <col min="11" max="11" width="8.57421875" style="69" customWidth="1"/>
    <col min="12" max="12" width="7.57421875" style="69" customWidth="1"/>
    <col min="13" max="19" width="8.57421875" style="69" customWidth="1"/>
    <col min="20" max="16384" width="9.57421875" style="69" customWidth="1"/>
  </cols>
  <sheetData>
    <row r="1" spans="1:12" ht="28.5" customHeight="1">
      <c r="A1" s="664" t="s">
        <v>343</v>
      </c>
      <c r="B1" s="665"/>
      <c r="C1" s="665"/>
      <c r="D1" s="665"/>
      <c r="E1" s="665"/>
      <c r="F1" s="665"/>
      <c r="G1" s="665"/>
      <c r="H1" s="665"/>
      <c r="I1" s="665"/>
      <c r="J1" s="665"/>
      <c r="K1" s="665"/>
      <c r="L1" s="666"/>
    </row>
    <row r="2" spans="1:12" ht="28.5" customHeight="1">
      <c r="A2" s="667" t="s">
        <v>258</v>
      </c>
      <c r="B2" s="668"/>
      <c r="C2" s="668"/>
      <c r="D2" s="668"/>
      <c r="E2" s="668"/>
      <c r="F2" s="668"/>
      <c r="G2" s="668"/>
      <c r="H2" s="668"/>
      <c r="I2" s="668"/>
      <c r="J2" s="668"/>
      <c r="K2" s="668"/>
      <c r="L2" s="669"/>
    </row>
    <row r="3" spans="1:12" ht="13.5" customHeight="1">
      <c r="A3" s="70"/>
      <c r="B3" s="70"/>
      <c r="C3" s="71"/>
      <c r="D3" s="71"/>
      <c r="E3" s="72"/>
      <c r="F3" s="71"/>
      <c r="G3" s="71"/>
      <c r="H3" s="71"/>
      <c r="I3" s="68"/>
      <c r="J3" s="68"/>
      <c r="K3" s="73"/>
      <c r="L3" s="68"/>
    </row>
    <row r="4" spans="1:12" ht="13.5" customHeight="1">
      <c r="A4" s="74"/>
      <c r="B4" s="75"/>
      <c r="C4" s="68"/>
      <c r="D4" s="68"/>
      <c r="E4" s="68"/>
      <c r="F4" s="68"/>
      <c r="G4" s="68"/>
      <c r="H4" s="68"/>
      <c r="I4" s="68"/>
      <c r="J4" s="68"/>
      <c r="K4" s="76"/>
      <c r="L4" s="68"/>
    </row>
    <row r="5" spans="1:12" ht="13.5" customHeight="1">
      <c r="A5" s="74"/>
      <c r="B5" s="75"/>
      <c r="C5" s="68"/>
      <c r="D5" s="68"/>
      <c r="E5" s="68"/>
      <c r="F5" s="68"/>
      <c r="G5" s="68"/>
      <c r="H5" s="68"/>
      <c r="I5" s="68"/>
      <c r="J5" s="68"/>
      <c r="K5" s="76"/>
      <c r="L5" s="68"/>
    </row>
    <row r="6" spans="10:12" ht="13.5" customHeight="1">
      <c r="J6" s="68"/>
      <c r="K6" s="68"/>
      <c r="L6" s="68"/>
    </row>
    <row r="7" spans="1:12" ht="18.75" customHeight="1">
      <c r="A7" s="273" t="s">
        <v>64</v>
      </c>
      <c r="B7" s="273"/>
      <c r="C7" s="318"/>
      <c r="D7" s="432"/>
      <c r="E7" s="432"/>
      <c r="F7" s="297"/>
      <c r="G7" s="433" t="s">
        <v>62</v>
      </c>
      <c r="H7" s="434">
        <f ca="1">TODAY()</f>
        <v>44305</v>
      </c>
      <c r="I7" s="318"/>
      <c r="J7" s="330"/>
      <c r="K7" s="318"/>
      <c r="L7" s="68"/>
    </row>
    <row r="8" spans="1:12" ht="18.75" customHeight="1">
      <c r="A8" s="435" t="s">
        <v>113</v>
      </c>
      <c r="B8" s="436">
        <v>0</v>
      </c>
      <c r="C8" s="437"/>
      <c r="D8" s="438"/>
      <c r="E8" s="438"/>
      <c r="F8" s="318"/>
      <c r="G8" s="438"/>
      <c r="H8" s="318"/>
      <c r="I8" s="318"/>
      <c r="J8" s="330"/>
      <c r="K8" s="318"/>
      <c r="L8" s="68"/>
    </row>
    <row r="9" spans="1:12" ht="18.75" customHeight="1">
      <c r="A9" s="435" t="s">
        <v>157</v>
      </c>
      <c r="B9" s="439">
        <v>0</v>
      </c>
      <c r="C9" s="440">
        <f>SUM(B8:B9)</f>
        <v>0</v>
      </c>
      <c r="D9" s="318"/>
      <c r="E9" s="318"/>
      <c r="F9" s="318"/>
      <c r="G9" s="318"/>
      <c r="H9" s="318"/>
      <c r="I9" s="318"/>
      <c r="J9" s="330"/>
      <c r="K9" s="318"/>
      <c r="L9" s="68"/>
    </row>
    <row r="10" spans="1:11" ht="18.75" customHeight="1">
      <c r="A10" s="330"/>
      <c r="B10" s="330"/>
      <c r="C10" s="330"/>
      <c r="D10" s="318"/>
      <c r="E10" s="318"/>
      <c r="F10" s="318"/>
      <c r="G10" s="318"/>
      <c r="H10" s="318"/>
      <c r="I10" s="318"/>
      <c r="J10" s="330"/>
      <c r="K10" s="330"/>
    </row>
    <row r="11" spans="1:11" ht="18.75" customHeight="1">
      <c r="A11" s="431" t="s">
        <v>131</v>
      </c>
      <c r="B11" s="441"/>
      <c r="C11" s="318"/>
      <c r="D11" s="318"/>
      <c r="E11" s="318"/>
      <c r="F11" s="318"/>
      <c r="G11" s="318"/>
      <c r="H11" s="433" t="s">
        <v>251</v>
      </c>
      <c r="I11" s="318"/>
      <c r="J11" s="330"/>
      <c r="K11" s="330"/>
    </row>
    <row r="12" spans="1:11" ht="18.75" customHeight="1">
      <c r="A12" s="390" t="s">
        <v>222</v>
      </c>
      <c r="B12" s="439">
        <v>0</v>
      </c>
      <c r="C12" s="516">
        <v>0</v>
      </c>
      <c r="D12" s="318" t="s">
        <v>269</v>
      </c>
      <c r="E12" s="318"/>
      <c r="F12" s="318"/>
      <c r="G12" s="318"/>
      <c r="H12" s="433" t="s">
        <v>63</v>
      </c>
      <c r="I12" s="318"/>
      <c r="J12" s="330"/>
      <c r="K12" s="330"/>
    </row>
    <row r="13" spans="1:11" ht="18.75" customHeight="1">
      <c r="A13" s="390" t="s">
        <v>268</v>
      </c>
      <c r="B13" s="230">
        <f>B12*C12*C13/12</f>
        <v>0</v>
      </c>
      <c r="C13" s="439">
        <v>0</v>
      </c>
      <c r="D13" s="318" t="s">
        <v>270</v>
      </c>
      <c r="E13" s="318"/>
      <c r="F13" s="318"/>
      <c r="G13" s="318"/>
      <c r="H13" s="433" t="s">
        <v>6</v>
      </c>
      <c r="I13" s="318"/>
      <c r="J13" s="330"/>
      <c r="K13" s="330"/>
    </row>
    <row r="14" spans="1:11" ht="18.75" customHeight="1">
      <c r="A14" s="629" t="s">
        <v>349</v>
      </c>
      <c r="B14" s="439">
        <v>5000</v>
      </c>
      <c r="C14" s="318" t="s">
        <v>7</v>
      </c>
      <c r="D14" s="318"/>
      <c r="E14" s="318"/>
      <c r="F14" s="318"/>
      <c r="G14" s="435" t="s">
        <v>8</v>
      </c>
      <c r="H14" s="442">
        <v>44835</v>
      </c>
      <c r="I14" s="318"/>
      <c r="J14" s="330"/>
      <c r="K14" s="330"/>
    </row>
    <row r="15" spans="1:11" ht="18.75" customHeight="1">
      <c r="A15" s="629" t="s">
        <v>350</v>
      </c>
      <c r="B15" s="439">
        <v>5000</v>
      </c>
      <c r="C15" s="318"/>
      <c r="D15" s="318"/>
      <c r="E15" s="318"/>
      <c r="F15" s="318"/>
      <c r="G15" s="318"/>
      <c r="H15" s="318"/>
      <c r="I15" s="318"/>
      <c r="J15" s="330"/>
      <c r="K15" s="330"/>
    </row>
    <row r="16" spans="1:11" ht="18.75" customHeight="1">
      <c r="A16" s="629" t="s">
        <v>351</v>
      </c>
      <c r="B16" s="439">
        <v>0</v>
      </c>
      <c r="C16" s="318"/>
      <c r="D16" s="318"/>
      <c r="E16" s="318"/>
      <c r="F16" s="318"/>
      <c r="G16" s="433" t="s">
        <v>65</v>
      </c>
      <c r="H16" s="443">
        <v>44835</v>
      </c>
      <c r="I16" s="318"/>
      <c r="J16" s="330"/>
      <c r="K16" s="330"/>
    </row>
    <row r="17" spans="1:11" ht="18.75" customHeight="1">
      <c r="A17" s="629" t="s">
        <v>262</v>
      </c>
      <c r="B17" s="439">
        <v>42000</v>
      </c>
      <c r="C17" s="318"/>
      <c r="D17" s="318"/>
      <c r="E17" s="318"/>
      <c r="F17" s="318"/>
      <c r="G17" s="318"/>
      <c r="H17" s="318"/>
      <c r="I17" s="318"/>
      <c r="J17" s="330"/>
      <c r="K17" s="330"/>
    </row>
    <row r="18" spans="1:11" ht="18.75" customHeight="1">
      <c r="A18" s="629" t="s">
        <v>116</v>
      </c>
      <c r="B18" s="439">
        <v>1000</v>
      </c>
      <c r="C18" s="318"/>
      <c r="D18" s="318"/>
      <c r="E18" s="318"/>
      <c r="F18" s="318"/>
      <c r="G18" s="318"/>
      <c r="H18" s="318"/>
      <c r="I18" s="318"/>
      <c r="J18" s="330"/>
      <c r="K18" s="330"/>
    </row>
    <row r="19" spans="1:11" ht="18.75" customHeight="1">
      <c r="A19" s="629" t="s">
        <v>117</v>
      </c>
      <c r="B19" s="439">
        <v>1000</v>
      </c>
      <c r="C19" s="318"/>
      <c r="D19" s="318"/>
      <c r="E19" s="318"/>
      <c r="F19" s="318"/>
      <c r="G19" s="318"/>
      <c r="H19" s="318"/>
      <c r="I19" s="318"/>
      <c r="J19" s="330"/>
      <c r="K19" s="330"/>
    </row>
    <row r="20" spans="1:11" ht="18.75" customHeight="1">
      <c r="A20" s="629"/>
      <c r="B20" s="439"/>
      <c r="C20" s="318"/>
      <c r="D20" s="318"/>
      <c r="E20" s="330"/>
      <c r="F20" s="318"/>
      <c r="I20" s="318"/>
      <c r="J20" s="330"/>
      <c r="K20" s="330"/>
    </row>
    <row r="21" spans="1:11" ht="18.75" customHeight="1">
      <c r="A21" s="318"/>
      <c r="B21" s="433" t="s">
        <v>254</v>
      </c>
      <c r="C21" s="440">
        <f>SUM(B12:B20)</f>
        <v>54000</v>
      </c>
      <c r="D21" s="330"/>
      <c r="E21" s="330"/>
      <c r="F21" s="318"/>
      <c r="G21" s="318"/>
      <c r="H21" s="318"/>
      <c r="I21" s="318"/>
      <c r="J21" s="330"/>
      <c r="K21" s="330"/>
    </row>
    <row r="22" spans="1:11" ht="18.75" customHeight="1">
      <c r="A22" s="330"/>
      <c r="B22" s="330"/>
      <c r="C22" s="330"/>
      <c r="D22" s="330"/>
      <c r="E22" s="330"/>
      <c r="F22" s="330"/>
      <c r="G22" s="330"/>
      <c r="H22" s="330"/>
      <c r="I22" s="444"/>
      <c r="J22" s="330"/>
      <c r="K22" s="330"/>
    </row>
    <row r="23" spans="1:7" ht="18.75" customHeight="1">
      <c r="A23" s="273" t="s">
        <v>132</v>
      </c>
      <c r="B23" s="273"/>
      <c r="C23" s="318"/>
      <c r="D23" s="318"/>
      <c r="E23" s="330"/>
      <c r="F23" s="445" t="s">
        <v>9</v>
      </c>
      <c r="G23" s="318"/>
    </row>
    <row r="24" spans="1:7" ht="18.75" customHeight="1">
      <c r="A24" s="629" t="s">
        <v>352</v>
      </c>
      <c r="B24" s="439">
        <v>0</v>
      </c>
      <c r="C24" s="330"/>
      <c r="D24" s="318"/>
      <c r="E24" s="318"/>
      <c r="F24" s="390" t="s">
        <v>226</v>
      </c>
      <c r="G24" s="439">
        <v>0</v>
      </c>
    </row>
    <row r="25" spans="1:7" ht="18.75" customHeight="1">
      <c r="A25" s="435" t="s">
        <v>115</v>
      </c>
      <c r="B25" s="439">
        <v>0</v>
      </c>
      <c r="C25" s="447"/>
      <c r="D25" s="318"/>
      <c r="E25" s="318"/>
      <c r="F25" s="390" t="s">
        <v>225</v>
      </c>
      <c r="G25" s="448">
        <v>168000</v>
      </c>
    </row>
    <row r="26" spans="1:7" ht="18.75" customHeight="1" thickBot="1">
      <c r="A26" s="435" t="s">
        <v>114</v>
      </c>
      <c r="B26" s="439">
        <v>2100000</v>
      </c>
      <c r="C26" s="447"/>
      <c r="D26" s="318"/>
      <c r="E26" s="318"/>
      <c r="F26" s="390" t="s">
        <v>198</v>
      </c>
      <c r="G26" s="448">
        <v>25000</v>
      </c>
    </row>
    <row r="27" spans="1:11" ht="18.75" customHeight="1">
      <c r="A27" s="435" t="s">
        <v>116</v>
      </c>
      <c r="B27" s="439">
        <v>0</v>
      </c>
      <c r="C27" s="447"/>
      <c r="D27" s="318"/>
      <c r="E27" s="318"/>
      <c r="F27" s="629" t="s">
        <v>360</v>
      </c>
      <c r="G27" s="448">
        <v>0</v>
      </c>
      <c r="H27" s="449"/>
      <c r="I27" s="450"/>
      <c r="J27" s="451"/>
      <c r="K27" s="452"/>
    </row>
    <row r="28" spans="1:11" ht="18.75" customHeight="1">
      <c r="A28" s="435" t="s">
        <v>117</v>
      </c>
      <c r="B28" s="439">
        <v>0</v>
      </c>
      <c r="C28" s="447"/>
      <c r="D28" s="318"/>
      <c r="E28" s="318"/>
      <c r="F28" s="390" t="s">
        <v>227</v>
      </c>
      <c r="G28" s="448">
        <v>68000</v>
      </c>
      <c r="H28" s="390"/>
      <c r="I28" s="453"/>
      <c r="J28" s="453"/>
      <c r="K28" s="454"/>
    </row>
    <row r="29" spans="1:11" ht="18.75" customHeight="1">
      <c r="A29" s="435" t="s">
        <v>118</v>
      </c>
      <c r="B29" s="439">
        <v>15000</v>
      </c>
      <c r="C29" s="457"/>
      <c r="D29" s="318"/>
      <c r="E29" s="318"/>
      <c r="F29" s="390" t="s">
        <v>228</v>
      </c>
      <c r="G29" s="448">
        <v>0</v>
      </c>
      <c r="H29" s="390"/>
      <c r="I29" s="455"/>
      <c r="J29" s="455"/>
      <c r="K29" s="454"/>
    </row>
    <row r="30" spans="1:11" ht="18.75" customHeight="1">
      <c r="A30" s="390" t="s">
        <v>213</v>
      </c>
      <c r="B30" s="439">
        <v>0</v>
      </c>
      <c r="C30" s="330"/>
      <c r="D30" s="318"/>
      <c r="E30" s="318"/>
      <c r="F30" s="629" t="s">
        <v>361</v>
      </c>
      <c r="G30" s="448">
        <v>24000</v>
      </c>
      <c r="H30" s="390"/>
      <c r="I30" s="456"/>
      <c r="J30" s="456"/>
      <c r="K30" s="454"/>
    </row>
    <row r="31" spans="1:11" ht="18.75" customHeight="1">
      <c r="A31" s="330"/>
      <c r="B31" s="433" t="s">
        <v>133</v>
      </c>
      <c r="C31" s="440">
        <f>SUM(B24:B30)</f>
        <v>2115000</v>
      </c>
      <c r="D31" s="330"/>
      <c r="E31" s="330"/>
      <c r="F31" s="433" t="s">
        <v>130</v>
      </c>
      <c r="G31" s="458">
        <f>SUM(G24:G30)</f>
        <v>285000</v>
      </c>
      <c r="H31" s="390"/>
      <c r="I31" s="456"/>
      <c r="J31" s="456"/>
      <c r="K31" s="454"/>
    </row>
    <row r="32" spans="1:11" ht="18.75" customHeight="1">
      <c r="A32" s="330"/>
      <c r="B32" s="330"/>
      <c r="C32" s="330"/>
      <c r="D32" s="330"/>
      <c r="E32" s="330"/>
      <c r="F32" s="318"/>
      <c r="G32" s="330"/>
      <c r="H32" s="390"/>
      <c r="I32" s="456"/>
      <c r="J32" s="456"/>
      <c r="K32" s="454"/>
    </row>
    <row r="33" spans="1:11" ht="18.75" customHeight="1">
      <c r="A33" s="273" t="s">
        <v>119</v>
      </c>
      <c r="B33" s="273"/>
      <c r="C33" s="273"/>
      <c r="D33" s="318"/>
      <c r="E33" s="318"/>
      <c r="F33" s="318"/>
      <c r="G33" s="330"/>
      <c r="H33" s="390"/>
      <c r="I33" s="456"/>
      <c r="J33" s="456"/>
      <c r="K33" s="454"/>
    </row>
    <row r="34" spans="1:11" ht="18.75" customHeight="1">
      <c r="A34" s="629" t="s">
        <v>358</v>
      </c>
      <c r="B34" s="436">
        <v>6000</v>
      </c>
      <c r="C34" s="330"/>
      <c r="D34" s="318"/>
      <c r="E34" s="318"/>
      <c r="F34" s="330"/>
      <c r="G34" s="330"/>
      <c r="H34" s="390"/>
      <c r="I34" s="456"/>
      <c r="J34" s="456"/>
      <c r="K34" s="454"/>
    </row>
    <row r="35" spans="1:11" ht="18.75" customHeight="1">
      <c r="A35" s="390" t="s">
        <v>255</v>
      </c>
      <c r="B35" s="459">
        <v>0</v>
      </c>
      <c r="C35" s="330"/>
      <c r="D35" s="318"/>
      <c r="E35" s="318"/>
      <c r="F35" s="330"/>
      <c r="G35" s="330"/>
      <c r="H35" s="390"/>
      <c r="I35" s="456"/>
      <c r="J35" s="456"/>
      <c r="K35" s="454"/>
    </row>
    <row r="36" spans="1:11" ht="18.75" customHeight="1">
      <c r="A36" s="446" t="s">
        <v>329</v>
      </c>
      <c r="B36" s="436">
        <v>0</v>
      </c>
      <c r="C36" s="330"/>
      <c r="D36" s="330"/>
      <c r="E36" s="330"/>
      <c r="F36" s="330"/>
      <c r="G36" s="330"/>
      <c r="H36" s="390"/>
      <c r="I36" s="456"/>
      <c r="J36" s="456"/>
      <c r="K36" s="454"/>
    </row>
    <row r="37" spans="1:11" ht="18.75" customHeight="1" thickBot="1">
      <c r="A37" s="463"/>
      <c r="B37" s="464" t="s">
        <v>233</v>
      </c>
      <c r="C37" s="465">
        <f>SUM(B34:B36)</f>
        <v>6000</v>
      </c>
      <c r="D37" s="318"/>
      <c r="E37" s="318"/>
      <c r="F37" s="330"/>
      <c r="G37" s="318"/>
      <c r="H37" s="460"/>
      <c r="I37" s="461"/>
      <c r="J37" s="461"/>
      <c r="K37" s="454"/>
    </row>
    <row r="38" spans="1:12" ht="18.75" customHeight="1" thickBot="1">
      <c r="A38" s="318"/>
      <c r="B38" s="466"/>
      <c r="C38" s="318"/>
      <c r="D38" s="318"/>
      <c r="E38" s="318"/>
      <c r="F38" s="318"/>
      <c r="G38" s="330"/>
      <c r="H38" s="318"/>
      <c r="I38" s="467"/>
      <c r="J38" s="467"/>
      <c r="K38" s="462"/>
      <c r="L38" s="103"/>
    </row>
    <row r="39" spans="1:12" ht="18.75" customHeight="1">
      <c r="A39" s="493"/>
      <c r="B39" s="493" t="s">
        <v>234</v>
      </c>
      <c r="C39" s="468">
        <f>SUM(C8:C38)+G31</f>
        <v>2460000</v>
      </c>
      <c r="D39" s="437"/>
      <c r="E39" s="318"/>
      <c r="F39" s="318"/>
      <c r="G39" s="318"/>
      <c r="H39" s="318"/>
      <c r="I39" s="469"/>
      <c r="J39" s="318"/>
      <c r="K39" s="467"/>
      <c r="L39" s="68"/>
    </row>
    <row r="40" spans="1:12" ht="18.75" customHeight="1">
      <c r="A40" s="390" t="s">
        <v>229</v>
      </c>
      <c r="B40" s="470">
        <v>0.12</v>
      </c>
      <c r="C40" s="471">
        <f>C31*B40</f>
        <v>253800</v>
      </c>
      <c r="D40" s="472" t="s">
        <v>134</v>
      </c>
      <c r="E40" s="330"/>
      <c r="F40" s="318"/>
      <c r="G40" s="318"/>
      <c r="H40" s="318"/>
      <c r="I40" s="318"/>
      <c r="J40" s="318"/>
      <c r="K40" s="318"/>
      <c r="L40" s="68"/>
    </row>
    <row r="41" spans="1:12" ht="18.75" customHeight="1">
      <c r="A41" s="435"/>
      <c r="B41" s="390" t="s">
        <v>231</v>
      </c>
      <c r="C41" s="623">
        <v>0</v>
      </c>
      <c r="D41" s="465">
        <f>IF(C41=0,IF(MIN('CC Budget'!G87:AG87)&lt;0,MIN('CC Budget'!G87:AG87),0)*-1,0)</f>
        <v>58911</v>
      </c>
      <c r="E41" s="473" t="s">
        <v>265</v>
      </c>
      <c r="F41" s="318"/>
      <c r="G41" s="318"/>
      <c r="H41" s="318"/>
      <c r="I41" s="469"/>
      <c r="J41" s="318"/>
      <c r="K41" s="318"/>
      <c r="L41" s="68"/>
    </row>
    <row r="42" spans="1:11" ht="18.75" customHeight="1">
      <c r="A42" s="435"/>
      <c r="B42" s="390" t="s">
        <v>230</v>
      </c>
      <c r="C42" s="430">
        <v>0</v>
      </c>
      <c r="D42" s="473" t="s">
        <v>253</v>
      </c>
      <c r="E42" s="318"/>
      <c r="F42" s="318"/>
      <c r="G42" s="330"/>
      <c r="H42" s="330"/>
      <c r="I42" s="330"/>
      <c r="J42" s="330"/>
      <c r="K42" s="318"/>
    </row>
    <row r="43" spans="1:11" ht="18.75" customHeight="1">
      <c r="A43" s="474"/>
      <c r="B43" s="463"/>
      <c r="C43" s="493" t="s">
        <v>235</v>
      </c>
      <c r="D43" s="468">
        <f>SUM(C39:C42)</f>
        <v>2713800</v>
      </c>
      <c r="E43" s="318"/>
      <c r="F43" s="318"/>
      <c r="G43" s="330"/>
      <c r="H43" s="330"/>
      <c r="I43" s="330"/>
      <c r="J43" s="330"/>
      <c r="K43" s="330"/>
    </row>
    <row r="44" spans="1:11" ht="18.75" customHeight="1">
      <c r="A44" s="479"/>
      <c r="B44" s="480"/>
      <c r="C44" s="318"/>
      <c r="D44" s="330"/>
      <c r="E44" s="318"/>
      <c r="F44" s="330"/>
      <c r="G44" s="330"/>
      <c r="H44" s="330"/>
      <c r="I44" s="330"/>
      <c r="J44" s="330"/>
      <c r="K44" s="330"/>
    </row>
    <row r="45" spans="1:11" ht="18.75" customHeight="1">
      <c r="A45" s="494" t="s">
        <v>260</v>
      </c>
      <c r="B45" s="273"/>
      <c r="C45" s="318"/>
      <c r="D45" s="330"/>
      <c r="E45" s="318"/>
      <c r="F45" s="330"/>
      <c r="G45" s="330"/>
      <c r="H45" s="330"/>
      <c r="I45" s="330"/>
      <c r="J45" s="330"/>
      <c r="K45" s="330"/>
    </row>
    <row r="46" spans="1:11" ht="18.75" customHeight="1">
      <c r="A46" s="318"/>
      <c r="B46" s="318"/>
      <c r="C46" s="390" t="s">
        <v>315</v>
      </c>
      <c r="D46" s="471">
        <f>D62</f>
        <v>37777.77777777778</v>
      </c>
      <c r="E46" s="330"/>
      <c r="F46" s="318"/>
      <c r="G46" s="330"/>
      <c r="H46" s="330"/>
      <c r="I46" s="330"/>
      <c r="J46" s="330"/>
      <c r="K46" s="330"/>
    </row>
    <row r="47" spans="1:11" ht="18.75" customHeight="1">
      <c r="A47" s="476"/>
      <c r="B47" s="476"/>
      <c r="C47" s="390"/>
      <c r="D47" s="390"/>
      <c r="E47" s="330"/>
      <c r="F47" s="318"/>
      <c r="G47" s="330"/>
      <c r="H47" s="330"/>
      <c r="I47" s="330"/>
      <c r="J47" s="330"/>
      <c r="K47" s="330"/>
    </row>
    <row r="48" spans="1:12" s="304" customFormat="1" ht="18.75" customHeight="1">
      <c r="A48" s="477"/>
      <c r="B48" s="330"/>
      <c r="C48" s="478" t="s">
        <v>232</v>
      </c>
      <c r="D48" s="468">
        <f>D43-SUM(D46:D47)</f>
        <v>2676022.222222222</v>
      </c>
      <c r="E48" s="473" t="s">
        <v>220</v>
      </c>
      <c r="F48" s="472"/>
      <c r="G48" s="330"/>
      <c r="H48" s="330"/>
      <c r="I48" s="330"/>
      <c r="J48" s="330"/>
      <c r="K48" s="330"/>
      <c r="L48" s="365"/>
    </row>
    <row r="49" spans="1:12" s="304" customFormat="1" ht="18.75" customHeight="1">
      <c r="A49" s="479"/>
      <c r="B49" s="480"/>
      <c r="C49" s="318"/>
      <c r="D49" s="481"/>
      <c r="E49" s="436">
        <v>30</v>
      </c>
      <c r="F49" s="472"/>
      <c r="G49" s="330"/>
      <c r="H49" s="330"/>
      <c r="I49" s="330"/>
      <c r="J49" s="330"/>
      <c r="K49" s="330"/>
      <c r="L49" s="303"/>
    </row>
    <row r="50" spans="1:12" ht="18.75" customHeight="1">
      <c r="A50" s="330"/>
      <c r="B50" s="480"/>
      <c r="C50" s="435" t="s">
        <v>10</v>
      </c>
      <c r="D50" s="482">
        <v>0.0297</v>
      </c>
      <c r="E50" s="483"/>
      <c r="F50" s="330"/>
      <c r="G50" s="330"/>
      <c r="H50" s="330"/>
      <c r="I50" s="330"/>
      <c r="J50" s="330"/>
      <c r="K50" s="330"/>
      <c r="L50" s="68"/>
    </row>
    <row r="51" spans="1:12" ht="18.75" customHeight="1">
      <c r="A51" s="484"/>
      <c r="B51" s="318"/>
      <c r="C51" s="318"/>
      <c r="D51" s="330"/>
      <c r="E51" s="485"/>
      <c r="F51" s="480"/>
      <c r="G51" s="330"/>
      <c r="H51" s="330"/>
      <c r="I51" s="330"/>
      <c r="J51" s="330"/>
      <c r="K51" s="330"/>
      <c r="L51" s="68"/>
    </row>
    <row r="52" spans="1:12" ht="18.75" customHeight="1">
      <c r="A52" s="318"/>
      <c r="B52" s="318"/>
      <c r="C52" s="476"/>
      <c r="D52" s="486" t="s">
        <v>223</v>
      </c>
      <c r="E52" s="487">
        <f>PMT(D50/12,E49*12,D48)*-1</f>
        <v>11238.966470620557</v>
      </c>
      <c r="F52" s="318"/>
      <c r="G52" s="330"/>
      <c r="H52" s="330"/>
      <c r="I52" s="330"/>
      <c r="J52" s="330"/>
      <c r="K52" s="330"/>
      <c r="L52" s="68"/>
    </row>
    <row r="53" spans="5:12" ht="18.75" customHeight="1">
      <c r="E53" s="318"/>
      <c r="F53" s="318"/>
      <c r="G53" s="330"/>
      <c r="H53" s="330"/>
      <c r="I53" s="330"/>
      <c r="J53" s="330"/>
      <c r="K53" s="330"/>
      <c r="L53" s="68"/>
    </row>
    <row r="54" spans="1:12" ht="18.75" customHeight="1" thickBot="1">
      <c r="A54" s="177"/>
      <c r="B54" s="177"/>
      <c r="C54" s="177"/>
      <c r="D54" s="177"/>
      <c r="E54" s="475"/>
      <c r="F54" s="475"/>
      <c r="G54" s="475"/>
      <c r="H54" s="475"/>
      <c r="I54" s="475"/>
      <c r="J54" s="475"/>
      <c r="K54" s="330"/>
      <c r="L54" s="68"/>
    </row>
    <row r="55" spans="1:12" ht="18.75" customHeight="1" thickBot="1">
      <c r="A55" s="497" t="s">
        <v>256</v>
      </c>
      <c r="B55" s="498"/>
      <c r="C55" s="498"/>
      <c r="D55" s="498"/>
      <c r="E55" s="498"/>
      <c r="F55" s="498"/>
      <c r="G55" s="499"/>
      <c r="H55" s="498"/>
      <c r="I55" s="498"/>
      <c r="J55" s="498"/>
      <c r="K55" s="475"/>
      <c r="L55" s="153"/>
    </row>
    <row r="56" spans="1:12" ht="18.75" customHeight="1">
      <c r="A56" s="501" t="s">
        <v>261</v>
      </c>
      <c r="B56" s="454"/>
      <c r="C56" s="456"/>
      <c r="D56" s="456"/>
      <c r="E56" s="456"/>
      <c r="F56" s="456"/>
      <c r="G56" s="456"/>
      <c r="H56" s="456"/>
      <c r="I56" s="456"/>
      <c r="J56" s="456"/>
      <c r="K56" s="500"/>
      <c r="L56" s="153"/>
    </row>
    <row r="57" spans="3:12" ht="18.75" customHeight="1">
      <c r="C57" s="67" t="s">
        <v>259</v>
      </c>
      <c r="D57" s="201">
        <v>20000</v>
      </c>
      <c r="E57" s="456"/>
      <c r="F57" s="456"/>
      <c r="G57" s="612"/>
      <c r="H57" s="101"/>
      <c r="I57" s="456"/>
      <c r="J57" s="456"/>
      <c r="K57" s="502"/>
      <c r="L57" s="153"/>
    </row>
    <row r="58" spans="1:12" ht="18.75" customHeight="1">
      <c r="A58" s="503"/>
      <c r="B58" s="66" t="s">
        <v>347</v>
      </c>
      <c r="C58" s="201">
        <v>20000</v>
      </c>
      <c r="E58" s="230">
        <f>C58/18</f>
        <v>1111.111111111111</v>
      </c>
      <c r="F58" t="s">
        <v>314</v>
      </c>
      <c r="G58" s="617"/>
      <c r="I58" s="101"/>
      <c r="J58" s="456"/>
      <c r="K58" s="502"/>
      <c r="L58" s="153"/>
    </row>
    <row r="59" spans="1:12" ht="18.75" customHeight="1">
      <c r="A59" s="503"/>
      <c r="B59" s="66" t="s">
        <v>348</v>
      </c>
      <c r="C59" s="201">
        <v>322519</v>
      </c>
      <c r="D59" s="456" t="s">
        <v>312</v>
      </c>
      <c r="F59" s="505"/>
      <c r="G59" s="617"/>
      <c r="I59" s="101"/>
      <c r="J59" s="456"/>
      <c r="K59" s="502"/>
      <c r="L59" s="153"/>
    </row>
    <row r="60" spans="1:12" ht="18.75" customHeight="1">
      <c r="A60" s="503"/>
      <c r="B60" s="66" t="s">
        <v>313</v>
      </c>
      <c r="C60" s="230">
        <f>D57-C58</f>
        <v>0</v>
      </c>
      <c r="F60" s="455"/>
      <c r="G60" s="455"/>
      <c r="I60" s="456"/>
      <c r="J60" s="456"/>
      <c r="K60" s="502"/>
      <c r="L60" s="153"/>
    </row>
    <row r="61" spans="1:12" ht="18.75" customHeight="1">
      <c r="A61" s="503"/>
      <c r="C61" s="446" t="s">
        <v>318</v>
      </c>
      <c r="D61" s="230">
        <f>E58*16</f>
        <v>17777.777777777777</v>
      </c>
      <c r="E61" s="201">
        <v>0</v>
      </c>
      <c r="F61" t="s">
        <v>316</v>
      </c>
      <c r="G61" s="527"/>
      <c r="H61" s="456"/>
      <c r="I61" s="456"/>
      <c r="J61" s="456"/>
      <c r="K61" s="502"/>
      <c r="L61" s="153"/>
    </row>
    <row r="62" spans="1:12" ht="18.75" customHeight="1">
      <c r="A62" s="503"/>
      <c r="C62" s="560" t="s">
        <v>317</v>
      </c>
      <c r="D62" s="618">
        <f>C58+D61</f>
        <v>37777.77777777778</v>
      </c>
      <c r="E62" s="619" t="s">
        <v>319</v>
      </c>
      <c r="F62" s="456"/>
      <c r="G62" s="495"/>
      <c r="H62" s="456"/>
      <c r="I62" s="456"/>
      <c r="J62" s="456"/>
      <c r="K62" s="502"/>
      <c r="L62" s="153"/>
    </row>
    <row r="63" spans="1:12" ht="18.75" customHeight="1">
      <c r="A63" s="503"/>
      <c r="B63" s="455"/>
      <c r="C63" s="306" t="s">
        <v>320</v>
      </c>
      <c r="D63" s="618">
        <f>D57-D62</f>
        <v>-17777.77777777778</v>
      </c>
      <c r="E63" s="455"/>
      <c r="F63" s="613"/>
      <c r="G63" s="490"/>
      <c r="H63" s="455"/>
      <c r="I63" s="456"/>
      <c r="J63" s="456"/>
      <c r="K63" s="502"/>
      <c r="L63" s="153"/>
    </row>
    <row r="64" spans="1:12" ht="18.75" customHeight="1">
      <c r="A64" s="503"/>
      <c r="B64" s="613"/>
      <c r="C64" s="613" t="s">
        <v>321</v>
      </c>
      <c r="D64" s="201">
        <v>0</v>
      </c>
      <c r="E64" s="456" t="s">
        <v>323</v>
      </c>
      <c r="F64" s="491"/>
      <c r="G64" s="505"/>
      <c r="H64" s="330"/>
      <c r="I64" s="456"/>
      <c r="J64" s="456"/>
      <c r="K64" s="502"/>
      <c r="L64" s="153"/>
    </row>
    <row r="65" spans="1:12" ht="18.75" customHeight="1">
      <c r="A65" s="65"/>
      <c r="B65" s="489"/>
      <c r="C65" s="202" t="s">
        <v>322</v>
      </c>
      <c r="D65" s="230">
        <f>D64*E65</f>
        <v>0</v>
      </c>
      <c r="E65" s="456">
        <v>0</v>
      </c>
      <c r="F65" s="456" t="s">
        <v>324</v>
      </c>
      <c r="G65" s="456"/>
      <c r="H65" s="456"/>
      <c r="I65" s="456"/>
      <c r="J65" s="456"/>
      <c r="K65" s="502"/>
      <c r="L65" s="153"/>
    </row>
    <row r="66" spans="1:12" ht="18.75" customHeight="1">
      <c r="A66" s="503"/>
      <c r="B66" s="101"/>
      <c r="C66" s="456"/>
      <c r="D66" s="456"/>
      <c r="E66" s="456"/>
      <c r="F66" s="456"/>
      <c r="G66" s="456"/>
      <c r="H66" s="456"/>
      <c r="I66" s="456"/>
      <c r="J66" s="456"/>
      <c r="K66" s="502"/>
      <c r="L66" s="153"/>
    </row>
    <row r="67" spans="1:12" ht="18.75" customHeight="1">
      <c r="A67" s="501"/>
      <c r="B67" s="454"/>
      <c r="C67" s="454"/>
      <c r="D67" s="456"/>
      <c r="E67" s="456"/>
      <c r="F67" s="456"/>
      <c r="G67" s="456"/>
      <c r="H67" s="456"/>
      <c r="I67" s="456"/>
      <c r="J67" s="456"/>
      <c r="K67" s="502"/>
      <c r="L67" s="153"/>
    </row>
    <row r="68" spans="1:12" ht="18.75" customHeight="1">
      <c r="A68" s="65"/>
      <c r="B68" s="454"/>
      <c r="C68" s="454"/>
      <c r="D68" s="456"/>
      <c r="E68" s="506"/>
      <c r="F68" s="456"/>
      <c r="G68" s="456"/>
      <c r="H68" s="456"/>
      <c r="I68" s="456"/>
      <c r="J68" s="456"/>
      <c r="K68" s="502"/>
      <c r="L68" s="153"/>
    </row>
    <row r="69" spans="1:12" ht="18.75" customHeight="1">
      <c r="A69" s="65"/>
      <c r="B69" s="454"/>
      <c r="C69" s="454"/>
      <c r="D69" s="456"/>
      <c r="E69" s="506"/>
      <c r="F69" s="506"/>
      <c r="G69" s="100"/>
      <c r="H69" s="100"/>
      <c r="I69" s="100"/>
      <c r="J69" s="100"/>
      <c r="K69" s="502"/>
      <c r="L69" s="153"/>
    </row>
    <row r="70" spans="1:12" ht="15.75" customHeight="1">
      <c r="A70" s="65"/>
      <c r="B70" s="454"/>
      <c r="C70" s="454"/>
      <c r="D70" s="456"/>
      <c r="E70" s="506"/>
      <c r="F70" s="506"/>
      <c r="G70" s="100"/>
      <c r="H70" s="100"/>
      <c r="I70" s="100"/>
      <c r="J70" s="100"/>
      <c r="K70" s="507"/>
      <c r="L70" s="153"/>
    </row>
    <row r="71" spans="1:12" ht="15.75" customHeight="1">
      <c r="A71" s="508"/>
      <c r="B71" s="454"/>
      <c r="C71" s="454"/>
      <c r="D71" s="506"/>
      <c r="E71" s="506"/>
      <c r="F71" s="506"/>
      <c r="G71" s="100"/>
      <c r="H71" s="100"/>
      <c r="I71" s="100"/>
      <c r="J71" s="100"/>
      <c r="K71" s="507"/>
      <c r="L71" s="153"/>
    </row>
    <row r="72" spans="1:12" ht="15.75" customHeight="1">
      <c r="A72" s="508"/>
      <c r="B72" s="454"/>
      <c r="C72" s="454"/>
      <c r="D72" s="506"/>
      <c r="E72" s="506"/>
      <c r="F72" s="506"/>
      <c r="G72" s="100"/>
      <c r="H72" s="100"/>
      <c r="I72" s="100"/>
      <c r="J72" s="100"/>
      <c r="K72" s="507"/>
      <c r="L72" s="153"/>
    </row>
    <row r="73" spans="1:12" ht="15.75" customHeight="1">
      <c r="A73" s="508"/>
      <c r="B73" s="454"/>
      <c r="C73" s="454"/>
      <c r="D73" s="506"/>
      <c r="E73" s="506"/>
      <c r="F73" s="506"/>
      <c r="G73" s="100"/>
      <c r="H73" s="100"/>
      <c r="I73" s="100"/>
      <c r="J73" s="100"/>
      <c r="K73" s="507"/>
      <c r="L73" s="153"/>
    </row>
    <row r="74" spans="1:12" ht="15.75" customHeight="1">
      <c r="A74" s="508"/>
      <c r="B74" s="454"/>
      <c r="C74" s="454"/>
      <c r="D74" s="506"/>
      <c r="E74" s="100"/>
      <c r="F74" s="506"/>
      <c r="G74" s="100"/>
      <c r="H74" s="100"/>
      <c r="I74" s="100"/>
      <c r="J74" s="100"/>
      <c r="K74" s="507"/>
      <c r="L74" s="153"/>
    </row>
    <row r="75" spans="1:12" ht="15.75" customHeight="1">
      <c r="A75" s="503"/>
      <c r="B75" s="504"/>
      <c r="C75" s="454"/>
      <c r="D75" s="506"/>
      <c r="E75" s="100"/>
      <c r="F75" s="100"/>
      <c r="G75" s="100"/>
      <c r="H75" s="100"/>
      <c r="I75" s="100"/>
      <c r="J75" s="100"/>
      <c r="K75" s="507"/>
      <c r="L75" s="153"/>
    </row>
    <row r="76" spans="1:12" ht="15.75" customHeight="1" thickBot="1">
      <c r="A76" s="509"/>
      <c r="B76" s="510"/>
      <c r="C76" s="510"/>
      <c r="D76" s="510"/>
      <c r="E76" s="510"/>
      <c r="F76" s="511"/>
      <c r="G76" s="511"/>
      <c r="H76" s="511"/>
      <c r="I76" s="511"/>
      <c r="J76" s="511"/>
      <c r="K76" s="507"/>
      <c r="L76" s="153"/>
    </row>
    <row r="77" spans="1:12" ht="15.75" customHeight="1" thickBot="1">
      <c r="A77" s="96"/>
      <c r="B77" s="496"/>
      <c r="C77" s="496"/>
      <c r="D77" s="96"/>
      <c r="E77" s="96"/>
      <c r="F77" s="96"/>
      <c r="G77" s="96"/>
      <c r="H77" s="96"/>
      <c r="I77" s="96"/>
      <c r="J77" s="96"/>
      <c r="K77" s="512"/>
      <c r="L77" s="68"/>
    </row>
    <row r="78" spans="1:12" ht="15.75" customHeight="1">
      <c r="A78" s="68"/>
      <c r="B78" s="454"/>
      <c r="C78" s="454"/>
      <c r="D78" s="68"/>
      <c r="E78" s="68"/>
      <c r="F78" s="68"/>
      <c r="G78" s="68"/>
      <c r="H78" s="68"/>
      <c r="I78" s="68"/>
      <c r="J78" s="68"/>
      <c r="K78" s="96"/>
      <c r="L78" s="68"/>
    </row>
    <row r="79" spans="1:12" ht="15.75" customHeight="1">
      <c r="A79" s="68"/>
      <c r="B79" s="68"/>
      <c r="C79" s="68"/>
      <c r="D79" s="68"/>
      <c r="E79" s="68"/>
      <c r="F79" s="68"/>
      <c r="G79" s="68"/>
      <c r="H79" s="68"/>
      <c r="I79" s="68"/>
      <c r="J79" s="68"/>
      <c r="K79" s="68"/>
      <c r="L79" s="68"/>
    </row>
    <row r="80" spans="1:12" ht="15.75" customHeight="1">
      <c r="A80" s="68"/>
      <c r="B80" s="68"/>
      <c r="C80" s="68"/>
      <c r="D80" s="68"/>
      <c r="E80" s="68"/>
      <c r="F80" s="68"/>
      <c r="G80" s="68"/>
      <c r="H80" s="68"/>
      <c r="I80" s="68"/>
      <c r="J80" s="68"/>
      <c r="K80" s="68"/>
      <c r="L80" s="68"/>
    </row>
    <row r="81" spans="1:12" ht="15.75" customHeight="1">
      <c r="A81" s="68"/>
      <c r="B81" s="68"/>
      <c r="C81" s="68"/>
      <c r="D81" s="68"/>
      <c r="E81" s="68"/>
      <c r="F81" s="68"/>
      <c r="G81" s="68"/>
      <c r="H81" s="68"/>
      <c r="I81" s="68"/>
      <c r="J81" s="68"/>
      <c r="K81" s="68"/>
      <c r="L81" s="68"/>
    </row>
    <row r="82" spans="1:12" ht="15.75" customHeight="1">
      <c r="A82" s="68"/>
      <c r="B82" s="83"/>
      <c r="C82" s="83"/>
      <c r="D82" s="68"/>
      <c r="E82" s="68"/>
      <c r="F82" s="68"/>
      <c r="G82" s="68"/>
      <c r="H82" s="68"/>
      <c r="I82" s="68"/>
      <c r="J82" s="68"/>
      <c r="K82" s="68"/>
      <c r="L82" s="68"/>
    </row>
    <row r="83" spans="1:12" ht="15.75" customHeight="1">
      <c r="A83" s="68"/>
      <c r="B83" s="68"/>
      <c r="C83" s="68"/>
      <c r="D83" s="68"/>
      <c r="E83" s="68"/>
      <c r="F83" s="68"/>
      <c r="G83" s="68"/>
      <c r="H83" s="68"/>
      <c r="I83" s="68"/>
      <c r="J83" s="68"/>
      <c r="K83" s="68"/>
      <c r="L83" s="68"/>
    </row>
    <row r="84" spans="1:12" ht="15.75" customHeight="1">
      <c r="A84" s="68"/>
      <c r="B84" s="68"/>
      <c r="C84" s="68"/>
      <c r="D84" s="68"/>
      <c r="E84" s="68"/>
      <c r="F84" s="68"/>
      <c r="G84" s="68"/>
      <c r="H84" s="68"/>
      <c r="I84" s="68"/>
      <c r="J84" s="68"/>
      <c r="K84" s="68"/>
      <c r="L84" s="68"/>
    </row>
    <row r="85" spans="1:12" ht="15.75" customHeight="1">
      <c r="A85" s="68"/>
      <c r="B85" s="83"/>
      <c r="C85" s="83"/>
      <c r="D85" s="83"/>
      <c r="E85" s="83"/>
      <c r="F85" s="83"/>
      <c r="G85" s="84"/>
      <c r="H85" s="68"/>
      <c r="I85" s="68"/>
      <c r="J85" s="68"/>
      <c r="K85" s="68"/>
      <c r="L85" s="68"/>
    </row>
    <row r="86" spans="1:12" ht="15.75" customHeight="1">
      <c r="A86" s="68"/>
      <c r="B86" s="83"/>
      <c r="C86" s="83"/>
      <c r="D86" s="83"/>
      <c r="E86" s="83"/>
      <c r="F86" s="83"/>
      <c r="G86" s="84"/>
      <c r="H86" s="68"/>
      <c r="I86" s="68"/>
      <c r="J86" s="68"/>
      <c r="K86" s="68"/>
      <c r="L86" s="68"/>
    </row>
    <row r="87" spans="1:12" ht="15.75" customHeight="1">
      <c r="A87" s="68"/>
      <c r="B87" s="83"/>
      <c r="C87" s="83"/>
      <c r="D87" s="83"/>
      <c r="E87" s="83"/>
      <c r="F87" s="83"/>
      <c r="G87" s="84"/>
      <c r="H87" s="68"/>
      <c r="I87" s="68"/>
      <c r="J87" s="68"/>
      <c r="K87" s="68"/>
      <c r="L87" s="68"/>
    </row>
    <row r="88" spans="1:12" ht="15.75" customHeight="1">
      <c r="A88" s="68"/>
      <c r="B88" s="68"/>
      <c r="C88" s="68"/>
      <c r="D88" s="68"/>
      <c r="E88" s="68"/>
      <c r="F88" s="68"/>
      <c r="G88" s="84"/>
      <c r="H88" s="68"/>
      <c r="I88" s="68"/>
      <c r="J88" s="68"/>
      <c r="K88" s="68"/>
      <c r="L88" s="68"/>
    </row>
    <row r="89" spans="1:12" ht="15.75" customHeight="1">
      <c r="A89" s="68"/>
      <c r="B89" s="68"/>
      <c r="C89" s="68"/>
      <c r="D89" s="68"/>
      <c r="E89" s="68"/>
      <c r="F89" s="68"/>
      <c r="G89" s="84"/>
      <c r="H89" s="68"/>
      <c r="I89" s="68"/>
      <c r="J89" s="68"/>
      <c r="K89" s="68"/>
      <c r="L89" s="68"/>
    </row>
    <row r="90" spans="1:12" ht="15.75" customHeight="1">
      <c r="A90" s="68"/>
      <c r="B90" s="68"/>
      <c r="C90" s="68"/>
      <c r="D90" s="83"/>
      <c r="E90" s="68"/>
      <c r="F90" s="68"/>
      <c r="G90" s="84"/>
      <c r="H90" s="68"/>
      <c r="I90" s="68"/>
      <c r="J90" s="68"/>
      <c r="K90" s="68"/>
      <c r="L90" s="68"/>
    </row>
    <row r="91" spans="1:12" ht="15.75" customHeight="1">
      <c r="A91" s="68"/>
      <c r="B91" s="83"/>
      <c r="C91" s="83"/>
      <c r="D91" s="83"/>
      <c r="E91" s="83"/>
      <c r="F91" s="83"/>
      <c r="G91" s="84"/>
      <c r="H91" s="68"/>
      <c r="I91" s="68"/>
      <c r="J91" s="68"/>
      <c r="K91" s="68"/>
      <c r="L91" s="68"/>
    </row>
    <row r="92" spans="1:12" ht="15.75" customHeight="1">
      <c r="A92" s="68"/>
      <c r="B92" s="83"/>
      <c r="C92" s="83"/>
      <c r="D92" s="83"/>
      <c r="E92" s="83"/>
      <c r="F92" s="83"/>
      <c r="G92" s="84"/>
      <c r="H92" s="68"/>
      <c r="I92" s="68"/>
      <c r="J92" s="68"/>
      <c r="K92" s="68"/>
      <c r="L92" s="68"/>
    </row>
    <row r="93" spans="1:12" ht="15.75" customHeight="1">
      <c r="A93" s="68"/>
      <c r="B93" s="83"/>
      <c r="C93" s="83"/>
      <c r="D93" s="83"/>
      <c r="E93" s="83"/>
      <c r="F93" s="83"/>
      <c r="G93" s="84"/>
      <c r="H93" s="68"/>
      <c r="I93" s="68"/>
      <c r="J93" s="68"/>
      <c r="K93" s="68"/>
      <c r="L93" s="68"/>
    </row>
    <row r="94" spans="1:12" ht="15.75" customHeight="1">
      <c r="A94" s="68"/>
      <c r="B94" s="68"/>
      <c r="C94" s="68"/>
      <c r="D94" s="68"/>
      <c r="E94" s="68"/>
      <c r="F94" s="68"/>
      <c r="G94" s="84"/>
      <c r="H94" s="68"/>
      <c r="I94" s="68"/>
      <c r="J94" s="68"/>
      <c r="K94" s="68"/>
      <c r="L94" s="68"/>
    </row>
    <row r="95" spans="1:12" ht="15.75" customHeight="1">
      <c r="A95" s="68"/>
      <c r="B95" s="68"/>
      <c r="C95" s="68"/>
      <c r="D95" s="68"/>
      <c r="E95" s="68"/>
      <c r="F95" s="68"/>
      <c r="G95" s="84"/>
      <c r="H95" s="68"/>
      <c r="I95" s="68"/>
      <c r="J95" s="68"/>
      <c r="K95" s="68"/>
      <c r="L95" s="68"/>
    </row>
    <row r="96" spans="1:12" ht="15.75" customHeight="1">
      <c r="A96" s="68"/>
      <c r="B96" s="68"/>
      <c r="C96" s="68"/>
      <c r="D96" s="68"/>
      <c r="E96" s="68"/>
      <c r="F96" s="68"/>
      <c r="G96" s="84"/>
      <c r="H96" s="68"/>
      <c r="I96" s="68"/>
      <c r="J96" s="68"/>
      <c r="K96" s="68"/>
      <c r="L96" s="68"/>
    </row>
    <row r="97" spans="1:12" ht="15.75" customHeight="1">
      <c r="A97" s="68"/>
      <c r="B97" s="68"/>
      <c r="C97" s="68"/>
      <c r="D97" s="68"/>
      <c r="E97" s="68"/>
      <c r="F97" s="68"/>
      <c r="G97" s="84"/>
      <c r="H97" s="68"/>
      <c r="I97" s="68"/>
      <c r="J97" s="68"/>
      <c r="K97" s="68"/>
      <c r="L97" s="68"/>
    </row>
    <row r="98" spans="1:12" ht="15.75" customHeight="1">
      <c r="A98" s="68"/>
      <c r="B98" s="83"/>
      <c r="C98" s="83"/>
      <c r="D98" s="83"/>
      <c r="E98" s="83"/>
      <c r="F98" s="83"/>
      <c r="G98" s="84"/>
      <c r="H98" s="68"/>
      <c r="I98" s="68"/>
      <c r="J98" s="68"/>
      <c r="K98" s="68"/>
      <c r="L98" s="68"/>
    </row>
    <row r="99" spans="1:12" ht="15.75" customHeight="1">
      <c r="A99" s="68"/>
      <c r="B99" s="83"/>
      <c r="C99" s="83"/>
      <c r="D99" s="83"/>
      <c r="E99" s="83"/>
      <c r="F99" s="83"/>
      <c r="G99" s="84"/>
      <c r="H99" s="68"/>
      <c r="I99" s="68"/>
      <c r="J99" s="68"/>
      <c r="K99" s="68"/>
      <c r="L99" s="68"/>
    </row>
    <row r="100" spans="1:12" ht="15.75" customHeight="1">
      <c r="A100" s="68"/>
      <c r="B100" s="83"/>
      <c r="C100" s="83"/>
      <c r="D100" s="83"/>
      <c r="E100" s="83"/>
      <c r="F100" s="83"/>
      <c r="G100" s="84"/>
      <c r="H100" s="68"/>
      <c r="I100" s="68"/>
      <c r="J100" s="68"/>
      <c r="K100" s="68"/>
      <c r="L100" s="68"/>
    </row>
    <row r="101" spans="1:12" ht="15.75" customHeight="1">
      <c r="A101" s="68"/>
      <c r="B101" s="83"/>
      <c r="C101" s="83"/>
      <c r="D101" s="83"/>
      <c r="E101" s="83"/>
      <c r="F101" s="83"/>
      <c r="G101" s="84"/>
      <c r="H101" s="68"/>
      <c r="I101" s="68"/>
      <c r="J101" s="68"/>
      <c r="K101" s="68"/>
      <c r="L101" s="68"/>
    </row>
    <row r="102" spans="1:12" ht="15.75" customHeight="1">
      <c r="A102" s="68"/>
      <c r="B102" s="83"/>
      <c r="C102" s="83"/>
      <c r="D102" s="83"/>
      <c r="E102" s="83"/>
      <c r="F102" s="83"/>
      <c r="G102" s="84"/>
      <c r="H102" s="68"/>
      <c r="I102" s="68"/>
      <c r="J102" s="68"/>
      <c r="K102" s="68"/>
      <c r="L102" s="68"/>
    </row>
    <row r="103" spans="1:12" ht="15.75" customHeight="1">
      <c r="A103" s="68"/>
      <c r="B103" s="83"/>
      <c r="C103" s="83"/>
      <c r="D103" s="83"/>
      <c r="E103" s="83"/>
      <c r="F103" s="83"/>
      <c r="G103" s="84"/>
      <c r="H103" s="68"/>
      <c r="I103" s="68"/>
      <c r="J103" s="68"/>
      <c r="K103" s="68"/>
      <c r="L103" s="68"/>
    </row>
    <row r="104" spans="1:12" ht="15.75" customHeight="1">
      <c r="A104" s="68"/>
      <c r="B104" s="83"/>
      <c r="C104" s="83"/>
      <c r="D104" s="83"/>
      <c r="E104" s="83"/>
      <c r="F104" s="83"/>
      <c r="G104" s="84"/>
      <c r="H104" s="68"/>
      <c r="I104" s="68"/>
      <c r="J104" s="68"/>
      <c r="K104" s="68"/>
      <c r="L104" s="68"/>
    </row>
    <row r="105" spans="1:12" ht="15.75" customHeight="1">
      <c r="A105" s="68"/>
      <c r="B105" s="83"/>
      <c r="C105" s="83"/>
      <c r="D105" s="83"/>
      <c r="E105" s="83"/>
      <c r="F105" s="83"/>
      <c r="G105" s="84"/>
      <c r="H105" s="68"/>
      <c r="I105" s="68"/>
      <c r="J105" s="68"/>
      <c r="K105" s="68"/>
      <c r="L105" s="68"/>
    </row>
    <row r="106" spans="1:12" ht="15.75" customHeight="1">
      <c r="A106" s="68"/>
      <c r="B106" s="68"/>
      <c r="C106" s="68"/>
      <c r="D106" s="68"/>
      <c r="E106" s="68"/>
      <c r="F106" s="68"/>
      <c r="G106" s="84"/>
      <c r="H106" s="68"/>
      <c r="I106" s="68"/>
      <c r="J106" s="68"/>
      <c r="K106" s="68"/>
      <c r="L106" s="68"/>
    </row>
    <row r="107" spans="1:12" ht="15.75" customHeight="1">
      <c r="A107" s="68"/>
      <c r="B107" s="68"/>
      <c r="C107" s="68"/>
      <c r="D107" s="68"/>
      <c r="E107" s="68"/>
      <c r="F107" s="68"/>
      <c r="G107" s="84"/>
      <c r="H107" s="68"/>
      <c r="I107" s="68"/>
      <c r="J107" s="68"/>
      <c r="K107" s="68"/>
      <c r="L107" s="68"/>
    </row>
    <row r="108" spans="1:12" ht="15.75" customHeight="1">
      <c r="A108" s="68"/>
      <c r="B108" s="68"/>
      <c r="C108" s="68"/>
      <c r="D108" s="68"/>
      <c r="E108" s="68"/>
      <c r="F108" s="68"/>
      <c r="G108" s="84"/>
      <c r="H108" s="68"/>
      <c r="I108" s="68"/>
      <c r="J108" s="68"/>
      <c r="K108" s="68"/>
      <c r="L108" s="68"/>
    </row>
    <row r="109" spans="1:12" ht="15.75" customHeight="1">
      <c r="A109" s="68"/>
      <c r="B109" s="68"/>
      <c r="C109" s="68"/>
      <c r="D109" s="68"/>
      <c r="E109" s="68"/>
      <c r="F109" s="68"/>
      <c r="G109" s="84"/>
      <c r="H109" s="68"/>
      <c r="I109" s="68"/>
      <c r="J109" s="68"/>
      <c r="K109" s="68"/>
      <c r="L109" s="68"/>
    </row>
    <row r="110" spans="1:12" ht="15.75" customHeight="1">
      <c r="A110" s="68"/>
      <c r="B110" s="68"/>
      <c r="C110" s="68"/>
      <c r="D110" s="68"/>
      <c r="E110" s="68"/>
      <c r="F110" s="68"/>
      <c r="G110" s="68"/>
      <c r="H110" s="68"/>
      <c r="I110" s="68"/>
      <c r="J110" s="68"/>
      <c r="K110" s="68"/>
      <c r="L110" s="68"/>
    </row>
    <row r="111" spans="1:12" ht="15.75" customHeight="1">
      <c r="A111" s="68"/>
      <c r="B111" s="68"/>
      <c r="C111" s="68"/>
      <c r="D111" s="68"/>
      <c r="E111" s="68"/>
      <c r="F111" s="68"/>
      <c r="G111" s="68"/>
      <c r="H111" s="68"/>
      <c r="I111" s="68"/>
      <c r="J111" s="68"/>
      <c r="K111" s="68"/>
      <c r="L111" s="68"/>
    </row>
    <row r="112" spans="1:12" ht="15.75" customHeight="1">
      <c r="A112" s="68"/>
      <c r="B112" s="68"/>
      <c r="C112" s="68"/>
      <c r="D112" s="68"/>
      <c r="E112" s="68"/>
      <c r="F112" s="68"/>
      <c r="G112" s="68"/>
      <c r="H112" s="68"/>
      <c r="I112" s="68"/>
      <c r="J112" s="68"/>
      <c r="K112" s="68"/>
      <c r="L112" s="68"/>
    </row>
    <row r="113" spans="1:12" ht="15.75" customHeight="1">
      <c r="A113" s="68"/>
      <c r="B113" s="68"/>
      <c r="C113" s="68"/>
      <c r="D113" s="68"/>
      <c r="E113" s="68"/>
      <c r="F113" s="68"/>
      <c r="G113" s="68"/>
      <c r="H113" s="68"/>
      <c r="I113" s="68"/>
      <c r="J113" s="68"/>
      <c r="K113" s="68"/>
      <c r="L113" s="68"/>
    </row>
    <row r="114" spans="1:12" ht="15.75" customHeight="1">
      <c r="A114" s="68"/>
      <c r="B114" s="68"/>
      <c r="C114" s="68"/>
      <c r="D114" s="68"/>
      <c r="E114" s="68"/>
      <c r="F114" s="68"/>
      <c r="G114" s="68"/>
      <c r="H114" s="68"/>
      <c r="I114" s="68"/>
      <c r="J114" s="68"/>
      <c r="K114" s="68"/>
      <c r="L114" s="68"/>
    </row>
    <row r="115" spans="1:12" ht="15.75" customHeight="1">
      <c r="A115" s="68"/>
      <c r="B115" s="68"/>
      <c r="C115" s="68"/>
      <c r="D115" s="68"/>
      <c r="E115" s="68"/>
      <c r="F115" s="68"/>
      <c r="G115" s="68"/>
      <c r="H115" s="68"/>
      <c r="I115" s="68"/>
      <c r="J115" s="68"/>
      <c r="K115" s="68"/>
      <c r="L115" s="68"/>
    </row>
    <row r="116" spans="1:12" ht="15.75" customHeight="1">
      <c r="A116" s="68"/>
      <c r="B116" s="68"/>
      <c r="C116" s="68"/>
      <c r="D116" s="68"/>
      <c r="E116" s="68"/>
      <c r="F116" s="68"/>
      <c r="G116" s="68"/>
      <c r="H116" s="68"/>
      <c r="I116" s="68"/>
      <c r="J116" s="68"/>
      <c r="K116" s="68"/>
      <c r="L116" s="68"/>
    </row>
    <row r="117" spans="1:12" ht="15.75" customHeight="1">
      <c r="A117" s="68"/>
      <c r="B117" s="68"/>
      <c r="C117" s="68"/>
      <c r="D117" s="68"/>
      <c r="E117" s="68"/>
      <c r="F117" s="68"/>
      <c r="G117" s="68"/>
      <c r="H117" s="68"/>
      <c r="I117" s="68"/>
      <c r="J117" s="68"/>
      <c r="K117" s="68"/>
      <c r="L117" s="68"/>
    </row>
    <row r="118" spans="1:12" ht="15.75" customHeight="1">
      <c r="A118" s="68"/>
      <c r="B118" s="68"/>
      <c r="C118" s="68"/>
      <c r="D118" s="68"/>
      <c r="E118" s="68"/>
      <c r="F118" s="68"/>
      <c r="G118" s="68"/>
      <c r="H118" s="68"/>
      <c r="I118" s="68"/>
      <c r="J118" s="68"/>
      <c r="K118" s="68"/>
      <c r="L118" s="68"/>
    </row>
    <row r="119" spans="1:12" ht="15.75" customHeight="1">
      <c r="A119" s="68"/>
      <c r="B119" s="68"/>
      <c r="C119" s="68"/>
      <c r="D119" s="68"/>
      <c r="E119" s="68"/>
      <c r="F119" s="68"/>
      <c r="G119" s="68"/>
      <c r="H119" s="68"/>
      <c r="I119" s="68"/>
      <c r="J119" s="68"/>
      <c r="K119" s="68"/>
      <c r="L119" s="68"/>
    </row>
    <row r="120" spans="1:12" ht="15.75" customHeight="1">
      <c r="A120" s="68"/>
      <c r="B120" s="68"/>
      <c r="C120" s="68"/>
      <c r="D120" s="68"/>
      <c r="E120" s="68"/>
      <c r="F120" s="68"/>
      <c r="G120" s="68"/>
      <c r="H120" s="68"/>
      <c r="I120" s="68"/>
      <c r="J120" s="68"/>
      <c r="K120" s="68"/>
      <c r="L120" s="68"/>
    </row>
    <row r="121" spans="1:12" ht="15.75" customHeight="1">
      <c r="A121" s="68"/>
      <c r="B121" s="68"/>
      <c r="C121" s="68"/>
      <c r="D121" s="68"/>
      <c r="E121" s="68"/>
      <c r="F121" s="68"/>
      <c r="G121" s="68"/>
      <c r="H121" s="68"/>
      <c r="I121" s="68"/>
      <c r="J121" s="68"/>
      <c r="K121" s="68"/>
      <c r="L121" s="68"/>
    </row>
    <row r="122" spans="1:12" ht="15.75" customHeight="1">
      <c r="A122" s="68"/>
      <c r="B122" s="68"/>
      <c r="C122" s="68"/>
      <c r="D122" s="68"/>
      <c r="E122" s="68"/>
      <c r="F122" s="68"/>
      <c r="G122" s="68"/>
      <c r="H122" s="68"/>
      <c r="I122" s="68"/>
      <c r="J122" s="68"/>
      <c r="K122" s="68"/>
      <c r="L122" s="68"/>
    </row>
    <row r="123" spans="1:12" ht="15.75" customHeight="1">
      <c r="A123" s="68"/>
      <c r="B123" s="68"/>
      <c r="C123" s="68"/>
      <c r="D123" s="68"/>
      <c r="E123" s="68"/>
      <c r="F123" s="68"/>
      <c r="G123" s="68"/>
      <c r="H123" s="68"/>
      <c r="I123" s="68"/>
      <c r="J123" s="68"/>
      <c r="K123" s="68"/>
      <c r="L123" s="68"/>
    </row>
    <row r="124" spans="1:12" ht="15.75" customHeight="1">
      <c r="A124" s="68"/>
      <c r="B124" s="68"/>
      <c r="C124" s="68"/>
      <c r="D124" s="68"/>
      <c r="E124" s="68"/>
      <c r="F124" s="68"/>
      <c r="G124" s="68"/>
      <c r="H124" s="68"/>
      <c r="I124" s="68"/>
      <c r="J124" s="68"/>
      <c r="K124" s="68"/>
      <c r="L124" s="68"/>
    </row>
    <row r="125" spans="1:12" ht="15.75" customHeight="1">
      <c r="A125" s="68"/>
      <c r="B125" s="68"/>
      <c r="C125" s="68"/>
      <c r="D125" s="68"/>
      <c r="E125" s="68"/>
      <c r="F125" s="68"/>
      <c r="G125" s="68"/>
      <c r="H125" s="68"/>
      <c r="I125" s="68"/>
      <c r="J125" s="68"/>
      <c r="K125" s="68"/>
      <c r="L125" s="68"/>
    </row>
    <row r="126" spans="1:12" ht="15.75" customHeight="1">
      <c r="A126" s="68"/>
      <c r="B126" s="68"/>
      <c r="C126" s="68"/>
      <c r="D126" s="68"/>
      <c r="E126" s="68"/>
      <c r="F126" s="68"/>
      <c r="G126" s="84"/>
      <c r="H126" s="68"/>
      <c r="I126" s="68"/>
      <c r="J126" s="68"/>
      <c r="K126" s="68"/>
      <c r="L126" s="68"/>
    </row>
    <row r="127" spans="1:12" ht="15.75" customHeight="1">
      <c r="A127" s="68"/>
      <c r="B127" s="68"/>
      <c r="C127" s="68"/>
      <c r="D127" s="68"/>
      <c r="E127" s="68"/>
      <c r="F127" s="68"/>
      <c r="G127" s="84"/>
      <c r="H127" s="68"/>
      <c r="I127" s="68"/>
      <c r="J127" s="68"/>
      <c r="K127" s="68"/>
      <c r="L127" s="68"/>
    </row>
    <row r="128" spans="1:12" ht="15.75" customHeight="1">
      <c r="A128" s="68"/>
      <c r="B128" s="68"/>
      <c r="C128" s="68"/>
      <c r="D128" s="68"/>
      <c r="E128" s="68"/>
      <c r="F128" s="68"/>
      <c r="G128" s="84"/>
      <c r="H128" s="68"/>
      <c r="I128" s="68"/>
      <c r="J128" s="68"/>
      <c r="K128" s="68"/>
      <c r="L128" s="68"/>
    </row>
    <row r="129" spans="1:12" ht="15.75" customHeight="1">
      <c r="A129" s="68"/>
      <c r="B129" s="83"/>
      <c r="C129" s="68"/>
      <c r="D129" s="68"/>
      <c r="E129" s="68"/>
      <c r="F129" s="68"/>
      <c r="G129" s="84"/>
      <c r="H129" s="68"/>
      <c r="I129" s="68"/>
      <c r="J129" s="68"/>
      <c r="K129" s="68"/>
      <c r="L129" s="68"/>
    </row>
    <row r="130" spans="1:12" ht="15.75" customHeight="1">
      <c r="A130" s="68"/>
      <c r="B130" s="68"/>
      <c r="C130" s="68"/>
      <c r="D130" s="68"/>
      <c r="E130" s="68"/>
      <c r="F130" s="68"/>
      <c r="G130" s="84"/>
      <c r="H130" s="68"/>
      <c r="I130" s="68"/>
      <c r="J130" s="68"/>
      <c r="K130" s="68"/>
      <c r="L130" s="68"/>
    </row>
    <row r="131" spans="1:12" ht="15.75" customHeight="1">
      <c r="A131" s="68"/>
      <c r="B131" s="68"/>
      <c r="C131" s="68"/>
      <c r="D131" s="68"/>
      <c r="E131" s="68"/>
      <c r="F131" s="68"/>
      <c r="G131" s="84"/>
      <c r="H131" s="68"/>
      <c r="I131" s="68"/>
      <c r="J131" s="68"/>
      <c r="K131" s="68"/>
      <c r="L131" s="68"/>
    </row>
    <row r="132" spans="1:12" ht="15.75" customHeight="1">
      <c r="A132" s="68"/>
      <c r="B132" s="68"/>
      <c r="C132" s="68"/>
      <c r="D132" s="68"/>
      <c r="E132" s="68"/>
      <c r="F132" s="68"/>
      <c r="G132" s="84"/>
      <c r="H132" s="68"/>
      <c r="I132" s="68"/>
      <c r="J132" s="68"/>
      <c r="K132" s="68"/>
      <c r="L132" s="68"/>
    </row>
    <row r="133" spans="1:12" ht="15.75" customHeight="1">
      <c r="A133" s="68"/>
      <c r="B133" s="68"/>
      <c r="C133" s="68"/>
      <c r="D133" s="68"/>
      <c r="E133" s="68"/>
      <c r="F133" s="68"/>
      <c r="G133" s="84"/>
      <c r="H133" s="68"/>
      <c r="I133" s="68"/>
      <c r="J133" s="68"/>
      <c r="K133" s="68"/>
      <c r="L133" s="68"/>
    </row>
    <row r="134" spans="1:12" ht="15.75" customHeight="1">
      <c r="A134" s="68"/>
      <c r="B134" s="83"/>
      <c r="C134" s="83"/>
      <c r="D134" s="83"/>
      <c r="E134" s="83"/>
      <c r="F134" s="83"/>
      <c r="G134" s="84"/>
      <c r="H134" s="68"/>
      <c r="I134" s="68"/>
      <c r="J134" s="68"/>
      <c r="K134" s="68"/>
      <c r="L134" s="68"/>
    </row>
    <row r="135" spans="1:12" ht="15.75" customHeight="1">
      <c r="A135" s="68"/>
      <c r="B135" s="83"/>
      <c r="C135" s="83"/>
      <c r="D135" s="83"/>
      <c r="E135" s="83"/>
      <c r="F135" s="83"/>
      <c r="G135" s="84"/>
      <c r="H135" s="68"/>
      <c r="I135" s="68"/>
      <c r="J135" s="68"/>
      <c r="K135" s="68"/>
      <c r="L135" s="68"/>
    </row>
    <row r="136" spans="1:12" ht="15.75" customHeight="1">
      <c r="A136" s="68"/>
      <c r="B136" s="83"/>
      <c r="C136" s="83"/>
      <c r="D136" s="83"/>
      <c r="E136" s="83"/>
      <c r="F136" s="83"/>
      <c r="G136" s="84"/>
      <c r="H136" s="68"/>
      <c r="I136" s="68"/>
      <c r="J136" s="68"/>
      <c r="K136" s="68"/>
      <c r="L136" s="68"/>
    </row>
    <row r="137" spans="1:12" ht="15.75" customHeight="1">
      <c r="A137" s="68"/>
      <c r="B137" s="68"/>
      <c r="C137" s="68"/>
      <c r="D137" s="68"/>
      <c r="E137" s="68"/>
      <c r="F137" s="68"/>
      <c r="G137" s="68"/>
      <c r="H137" s="68"/>
      <c r="I137" s="68"/>
      <c r="J137" s="68"/>
      <c r="K137" s="68"/>
      <c r="L137" s="68"/>
    </row>
    <row r="138" spans="1:12" ht="15.75" customHeight="1">
      <c r="A138" s="68"/>
      <c r="B138" s="68"/>
      <c r="C138" s="68"/>
      <c r="D138" s="68"/>
      <c r="E138" s="68"/>
      <c r="F138" s="68"/>
      <c r="G138" s="84"/>
      <c r="H138" s="68"/>
      <c r="I138" s="68"/>
      <c r="J138" s="68"/>
      <c r="K138" s="68"/>
      <c r="L138" s="68"/>
    </row>
    <row r="139" spans="1:12" ht="15.75" customHeight="1">
      <c r="A139" s="68"/>
      <c r="B139" s="68"/>
      <c r="C139" s="68"/>
      <c r="D139" s="68"/>
      <c r="E139" s="68"/>
      <c r="F139" s="68"/>
      <c r="G139" s="84"/>
      <c r="H139" s="68"/>
      <c r="I139" s="68"/>
      <c r="J139" s="68"/>
      <c r="K139" s="68"/>
      <c r="L139" s="68"/>
    </row>
    <row r="140" spans="1:12" ht="15.75" customHeight="1">
      <c r="A140" s="68"/>
      <c r="B140" s="68"/>
      <c r="C140" s="68"/>
      <c r="D140" s="68"/>
      <c r="E140" s="68"/>
      <c r="F140" s="68"/>
      <c r="G140" s="84"/>
      <c r="H140" s="68"/>
      <c r="I140" s="68"/>
      <c r="J140" s="68"/>
      <c r="K140" s="68"/>
      <c r="L140" s="68"/>
    </row>
    <row r="141" spans="1:12" ht="15.75" customHeight="1">
      <c r="A141" s="68"/>
      <c r="B141" s="68"/>
      <c r="C141" s="68"/>
      <c r="D141" s="68"/>
      <c r="E141" s="68"/>
      <c r="F141" s="68"/>
      <c r="G141" s="84"/>
      <c r="H141" s="68"/>
      <c r="I141" s="68"/>
      <c r="J141" s="68"/>
      <c r="K141" s="68"/>
      <c r="L141" s="68"/>
    </row>
    <row r="142" spans="1:12" ht="15.75" customHeight="1">
      <c r="A142" s="68"/>
      <c r="B142" s="68"/>
      <c r="C142" s="68"/>
      <c r="D142" s="68"/>
      <c r="E142" s="68"/>
      <c r="F142" s="68"/>
      <c r="G142" s="84"/>
      <c r="H142" s="68"/>
      <c r="I142" s="68"/>
      <c r="J142" s="68"/>
      <c r="K142" s="68"/>
      <c r="L142" s="68"/>
    </row>
    <row r="143" spans="1:12" ht="15.75" customHeight="1">
      <c r="A143" s="68"/>
      <c r="B143" s="68"/>
      <c r="C143" s="68"/>
      <c r="D143" s="68"/>
      <c r="E143" s="68"/>
      <c r="F143" s="68"/>
      <c r="G143" s="84"/>
      <c r="H143" s="68"/>
      <c r="I143" s="68"/>
      <c r="J143" s="68"/>
      <c r="K143" s="68"/>
      <c r="L143" s="68"/>
    </row>
    <row r="144" spans="1:12" ht="15.75" customHeight="1">
      <c r="A144" s="68"/>
      <c r="B144" s="68"/>
      <c r="C144" s="68"/>
      <c r="D144" s="68"/>
      <c r="E144" s="68"/>
      <c r="F144" s="68"/>
      <c r="G144" s="84"/>
      <c r="H144" s="68"/>
      <c r="I144" s="68"/>
      <c r="J144" s="68"/>
      <c r="K144" s="68"/>
      <c r="L144" s="68"/>
    </row>
    <row r="145" spans="1:12" ht="15.75" customHeight="1">
      <c r="A145" s="68"/>
      <c r="B145" s="68"/>
      <c r="C145" s="68"/>
      <c r="D145" s="68"/>
      <c r="E145" s="68"/>
      <c r="F145" s="68"/>
      <c r="G145" s="84"/>
      <c r="H145" s="68"/>
      <c r="I145" s="68"/>
      <c r="J145" s="68"/>
      <c r="K145" s="68"/>
      <c r="L145" s="68"/>
    </row>
    <row r="146" spans="1:12" ht="15.75" customHeight="1">
      <c r="A146" s="68"/>
      <c r="B146" s="83"/>
      <c r="C146" s="68"/>
      <c r="D146" s="68"/>
      <c r="E146" s="68"/>
      <c r="F146" s="68"/>
      <c r="G146" s="84"/>
      <c r="H146" s="68"/>
      <c r="I146" s="68"/>
      <c r="J146" s="68"/>
      <c r="K146" s="68"/>
      <c r="L146" s="68"/>
    </row>
    <row r="147" spans="1:12" ht="15.75" customHeight="1">
      <c r="A147" s="68"/>
      <c r="B147" s="68"/>
      <c r="C147" s="68"/>
      <c r="D147" s="68"/>
      <c r="E147" s="68"/>
      <c r="F147" s="68"/>
      <c r="G147" s="84"/>
      <c r="H147" s="68"/>
      <c r="I147" s="68"/>
      <c r="J147" s="68"/>
      <c r="K147" s="68"/>
      <c r="L147" s="68"/>
    </row>
    <row r="148" spans="1:12" ht="15.75" customHeight="1">
      <c r="A148" s="68"/>
      <c r="B148" s="68"/>
      <c r="C148" s="68"/>
      <c r="D148" s="68"/>
      <c r="E148" s="68"/>
      <c r="F148" s="68"/>
      <c r="G148" s="84"/>
      <c r="H148" s="68"/>
      <c r="I148" s="68"/>
      <c r="J148" s="68"/>
      <c r="K148" s="68"/>
      <c r="L148" s="68"/>
    </row>
    <row r="149" spans="1:12" ht="15.75" customHeight="1">
      <c r="A149" s="68"/>
      <c r="B149" s="68"/>
      <c r="C149" s="68"/>
      <c r="D149" s="68"/>
      <c r="E149" s="68"/>
      <c r="F149" s="68"/>
      <c r="G149" s="68"/>
      <c r="H149" s="68"/>
      <c r="I149" s="68"/>
      <c r="J149" s="68"/>
      <c r="K149" s="68"/>
      <c r="L149" s="68"/>
    </row>
    <row r="150" spans="1:12" ht="15.75" customHeight="1">
      <c r="A150" s="68"/>
      <c r="B150" s="68"/>
      <c r="C150" s="68"/>
      <c r="D150" s="68"/>
      <c r="E150" s="68"/>
      <c r="F150" s="68"/>
      <c r="G150" s="68"/>
      <c r="H150" s="68"/>
      <c r="I150" s="68"/>
      <c r="J150" s="68"/>
      <c r="K150" s="68"/>
      <c r="L150" s="68"/>
    </row>
    <row r="151" spans="1:12" ht="15.75" customHeight="1">
      <c r="A151" s="68"/>
      <c r="B151" s="68"/>
      <c r="C151" s="68"/>
      <c r="D151" s="68"/>
      <c r="E151" s="68"/>
      <c r="F151" s="68"/>
      <c r="G151" s="68"/>
      <c r="H151" s="68"/>
      <c r="I151" s="68"/>
      <c r="J151" s="68"/>
      <c r="K151" s="68"/>
      <c r="L151" s="68"/>
    </row>
    <row r="152" spans="1:12" ht="15.75" customHeight="1">
      <c r="A152" s="68"/>
      <c r="B152" s="68"/>
      <c r="C152" s="68"/>
      <c r="D152" s="68"/>
      <c r="E152" s="68"/>
      <c r="F152" s="68"/>
      <c r="G152" s="68"/>
      <c r="H152" s="68"/>
      <c r="I152" s="68"/>
      <c r="J152" s="68"/>
      <c r="K152" s="68"/>
      <c r="L152" s="68"/>
    </row>
    <row r="153" spans="1:12" ht="15.75" customHeight="1">
      <c r="A153" s="68"/>
      <c r="B153" s="68"/>
      <c r="C153" s="68"/>
      <c r="D153" s="68"/>
      <c r="E153" s="68"/>
      <c r="F153" s="68"/>
      <c r="G153" s="84"/>
      <c r="H153" s="68"/>
      <c r="I153" s="68"/>
      <c r="J153" s="68"/>
      <c r="K153" s="68"/>
      <c r="L153" s="68"/>
    </row>
    <row r="154" spans="1:12" ht="15.75" customHeight="1">
      <c r="A154" s="68"/>
      <c r="B154" s="68"/>
      <c r="C154" s="68"/>
      <c r="D154" s="68"/>
      <c r="E154" s="68"/>
      <c r="F154" s="68"/>
      <c r="G154" s="84"/>
      <c r="H154" s="68"/>
      <c r="I154" s="68"/>
      <c r="J154" s="68"/>
      <c r="K154" s="68"/>
      <c r="L154" s="68"/>
    </row>
    <row r="155" spans="1:12" ht="15.75" customHeight="1">
      <c r="A155" s="68"/>
      <c r="B155" s="68"/>
      <c r="C155" s="68"/>
      <c r="D155" s="68"/>
      <c r="E155" s="68"/>
      <c r="F155" s="68"/>
      <c r="G155" s="84"/>
      <c r="H155" s="68"/>
      <c r="I155" s="68"/>
      <c r="J155" s="68"/>
      <c r="K155" s="68"/>
      <c r="L155" s="68"/>
    </row>
    <row r="156" spans="1:12" ht="15.75" customHeight="1">
      <c r="A156" s="68"/>
      <c r="B156" s="68"/>
      <c r="C156" s="68"/>
      <c r="D156" s="68"/>
      <c r="E156" s="68"/>
      <c r="F156" s="68"/>
      <c r="G156" s="84"/>
      <c r="H156" s="68"/>
      <c r="I156" s="68"/>
      <c r="J156" s="68"/>
      <c r="K156" s="68"/>
      <c r="L156" s="68"/>
    </row>
    <row r="157" spans="1:12" ht="15.75" customHeight="1">
      <c r="A157" s="68"/>
      <c r="B157" s="68"/>
      <c r="C157" s="68"/>
      <c r="D157" s="68"/>
      <c r="E157" s="68"/>
      <c r="F157" s="68"/>
      <c r="G157" s="84"/>
      <c r="H157" s="68"/>
      <c r="I157" s="68"/>
      <c r="J157" s="68"/>
      <c r="K157" s="68"/>
      <c r="L157" s="68"/>
    </row>
    <row r="158" spans="1:12" ht="15.75" customHeight="1">
      <c r="A158" s="68"/>
      <c r="B158" s="68"/>
      <c r="C158" s="68"/>
      <c r="D158" s="68"/>
      <c r="E158" s="68"/>
      <c r="F158" s="68"/>
      <c r="G158" s="84"/>
      <c r="H158" s="68"/>
      <c r="I158" s="68"/>
      <c r="J158" s="68"/>
      <c r="K158" s="68"/>
      <c r="L158" s="68"/>
    </row>
    <row r="159" spans="1:12" ht="15.75" customHeight="1">
      <c r="A159" s="68"/>
      <c r="B159" s="68"/>
      <c r="C159" s="68"/>
      <c r="D159" s="68"/>
      <c r="E159" s="68"/>
      <c r="F159" s="68"/>
      <c r="G159" s="84"/>
      <c r="H159" s="68"/>
      <c r="I159" s="68"/>
      <c r="J159" s="68"/>
      <c r="K159" s="68"/>
      <c r="L159" s="68"/>
    </row>
    <row r="160" spans="1:12" ht="15.75">
      <c r="A160" s="68"/>
      <c r="B160" s="68"/>
      <c r="C160" s="68"/>
      <c r="D160" s="68"/>
      <c r="E160" s="68"/>
      <c r="F160" s="68"/>
      <c r="G160" s="84"/>
      <c r="H160" s="68"/>
      <c r="I160" s="68"/>
      <c r="J160" s="68"/>
      <c r="K160" s="68"/>
      <c r="L160" s="68"/>
    </row>
    <row r="161" spans="1:12" ht="15.75">
      <c r="A161" s="68"/>
      <c r="B161" s="68"/>
      <c r="C161" s="68"/>
      <c r="D161" s="68"/>
      <c r="E161" s="68"/>
      <c r="F161" s="68"/>
      <c r="G161" s="84"/>
      <c r="H161" s="68"/>
      <c r="I161" s="68"/>
      <c r="J161" s="68"/>
      <c r="K161" s="68"/>
      <c r="L161" s="68"/>
    </row>
    <row r="162" spans="1:12" ht="15.75" customHeight="1">
      <c r="A162" s="68"/>
      <c r="B162" s="68"/>
      <c r="C162" s="68"/>
      <c r="D162" s="68"/>
      <c r="E162" s="68"/>
      <c r="F162" s="68"/>
      <c r="G162" s="84"/>
      <c r="H162" s="68"/>
      <c r="I162" s="68"/>
      <c r="J162" s="68"/>
      <c r="K162" s="68"/>
      <c r="L162" s="68"/>
    </row>
    <row r="163" spans="1:12" ht="15.75" customHeight="1">
      <c r="A163" s="68"/>
      <c r="B163" s="83"/>
      <c r="C163" s="83"/>
      <c r="D163" s="83"/>
      <c r="E163" s="83"/>
      <c r="F163" s="83"/>
      <c r="G163" s="84"/>
      <c r="H163" s="68"/>
      <c r="I163" s="68"/>
      <c r="J163" s="68"/>
      <c r="K163" s="68"/>
      <c r="L163" s="68"/>
    </row>
    <row r="164" spans="1:12" ht="15.75" customHeight="1">
      <c r="A164" s="68"/>
      <c r="B164" s="83"/>
      <c r="C164" s="83"/>
      <c r="D164" s="83"/>
      <c r="E164" s="83"/>
      <c r="F164" s="83"/>
      <c r="G164" s="84"/>
      <c r="H164" s="68"/>
      <c r="I164" s="68"/>
      <c r="J164" s="68"/>
      <c r="K164" s="68"/>
      <c r="L164" s="68"/>
    </row>
    <row r="165" spans="1:12" ht="15.75" customHeight="1">
      <c r="A165" s="68"/>
      <c r="B165" s="83"/>
      <c r="C165" s="83"/>
      <c r="D165" s="83"/>
      <c r="E165" s="83"/>
      <c r="F165" s="83"/>
      <c r="G165" s="84"/>
      <c r="H165" s="68"/>
      <c r="I165" s="68"/>
      <c r="J165" s="68"/>
      <c r="K165" s="68"/>
      <c r="L165" s="68"/>
    </row>
    <row r="166" spans="1:12" ht="15.75" customHeight="1">
      <c r="A166" s="68"/>
      <c r="B166" s="83"/>
      <c r="C166" s="83"/>
      <c r="D166" s="83"/>
      <c r="E166" s="83"/>
      <c r="F166" s="83"/>
      <c r="G166" s="84"/>
      <c r="H166" s="68"/>
      <c r="I166" s="68"/>
      <c r="J166" s="68"/>
      <c r="K166" s="68"/>
      <c r="L166" s="68"/>
    </row>
    <row r="167" spans="1:12" ht="15.75" customHeight="1">
      <c r="A167" s="68"/>
      <c r="B167" s="83"/>
      <c r="C167" s="83"/>
      <c r="D167" s="83"/>
      <c r="E167" s="83"/>
      <c r="F167" s="83"/>
      <c r="G167" s="84"/>
      <c r="H167" s="68"/>
      <c r="I167" s="68"/>
      <c r="J167" s="68"/>
      <c r="K167" s="68"/>
      <c r="L167" s="68"/>
    </row>
    <row r="168" spans="1:12" ht="15.75" customHeight="1">
      <c r="A168" s="68"/>
      <c r="B168" s="83"/>
      <c r="C168" s="83"/>
      <c r="D168" s="83"/>
      <c r="E168" s="83"/>
      <c r="F168" s="83"/>
      <c r="G168" s="84"/>
      <c r="H168" s="68"/>
      <c r="I168" s="68"/>
      <c r="J168" s="68"/>
      <c r="K168" s="68"/>
      <c r="L168" s="68"/>
    </row>
    <row r="169" spans="1:12" ht="15.75" customHeight="1">
      <c r="A169" s="68"/>
      <c r="B169" s="83"/>
      <c r="C169" s="83"/>
      <c r="D169" s="83"/>
      <c r="E169" s="83"/>
      <c r="F169" s="83"/>
      <c r="G169" s="84"/>
      <c r="H169" s="68"/>
      <c r="I169" s="68"/>
      <c r="J169" s="68"/>
      <c r="K169" s="68"/>
      <c r="L169" s="68"/>
    </row>
    <row r="170" spans="1:12" ht="15.75" customHeight="1">
      <c r="A170" s="68"/>
      <c r="B170" s="83"/>
      <c r="C170" s="83"/>
      <c r="D170" s="83"/>
      <c r="E170" s="83"/>
      <c r="F170" s="83"/>
      <c r="G170" s="84"/>
      <c r="H170" s="68"/>
      <c r="I170" s="68"/>
      <c r="J170" s="68"/>
      <c r="K170" s="68"/>
      <c r="L170" s="68"/>
    </row>
    <row r="171" spans="1:12" ht="15.75" customHeight="1">
      <c r="A171" s="68"/>
      <c r="B171" s="68"/>
      <c r="C171" s="68"/>
      <c r="D171" s="68"/>
      <c r="E171" s="68"/>
      <c r="F171" s="68"/>
      <c r="G171" s="68"/>
      <c r="H171" s="68"/>
      <c r="I171" s="68"/>
      <c r="J171" s="68"/>
      <c r="K171" s="68"/>
      <c r="L171" s="68"/>
    </row>
    <row r="172" spans="1:12" ht="15.75" customHeight="1">
      <c r="A172" s="68"/>
      <c r="B172" s="68"/>
      <c r="C172" s="68"/>
      <c r="D172" s="68"/>
      <c r="E172" s="68"/>
      <c r="F172" s="68"/>
      <c r="G172" s="68"/>
      <c r="H172" s="68"/>
      <c r="I172" s="68"/>
      <c r="J172" s="68"/>
      <c r="K172" s="68"/>
      <c r="L172" s="68"/>
    </row>
    <row r="173" spans="1:12" ht="15.75" customHeight="1">
      <c r="A173" s="68"/>
      <c r="B173" s="68"/>
      <c r="C173" s="68"/>
      <c r="D173" s="68"/>
      <c r="E173" s="68"/>
      <c r="F173" s="68"/>
      <c r="G173" s="68"/>
      <c r="H173" s="68"/>
      <c r="I173" s="68"/>
      <c r="J173" s="68"/>
      <c r="K173" s="68"/>
      <c r="L173" s="68"/>
    </row>
    <row r="174" spans="1:12" ht="15.75" customHeight="1">
      <c r="A174" s="68"/>
      <c r="B174" s="68"/>
      <c r="C174" s="68"/>
      <c r="D174" s="68"/>
      <c r="E174" s="68"/>
      <c r="F174" s="68"/>
      <c r="G174" s="68"/>
      <c r="H174" s="68"/>
      <c r="I174" s="68"/>
      <c r="J174" s="68"/>
      <c r="K174" s="68"/>
      <c r="L174" s="68"/>
    </row>
    <row r="175" spans="1:12" ht="15.75" customHeight="1">
      <c r="A175" s="68"/>
      <c r="B175" s="68"/>
      <c r="C175" s="68"/>
      <c r="D175" s="68"/>
      <c r="E175" s="68"/>
      <c r="F175" s="68"/>
      <c r="G175" s="68"/>
      <c r="H175" s="68"/>
      <c r="I175" s="68"/>
      <c r="J175" s="68"/>
      <c r="K175" s="68"/>
      <c r="L175" s="68"/>
    </row>
    <row r="176" spans="1:12" ht="15.75" customHeight="1">
      <c r="A176" s="68"/>
      <c r="B176" s="68"/>
      <c r="C176" s="68"/>
      <c r="D176" s="68"/>
      <c r="E176" s="68"/>
      <c r="F176" s="68"/>
      <c r="G176" s="68"/>
      <c r="H176" s="68"/>
      <c r="I176" s="68"/>
      <c r="J176" s="68"/>
      <c r="K176" s="68"/>
      <c r="L176" s="68"/>
    </row>
    <row r="177" spans="1:12" ht="15.75" customHeight="1">
      <c r="A177" s="68"/>
      <c r="B177" s="68"/>
      <c r="C177" s="68"/>
      <c r="D177" s="68"/>
      <c r="E177" s="68"/>
      <c r="F177" s="68"/>
      <c r="G177" s="68"/>
      <c r="H177" s="68"/>
      <c r="I177" s="68"/>
      <c r="J177" s="68"/>
      <c r="K177" s="68"/>
      <c r="L177" s="68"/>
    </row>
    <row r="178" spans="1:12" ht="15.75" customHeight="1">
      <c r="A178" s="68"/>
      <c r="B178" s="68"/>
      <c r="C178" s="68"/>
      <c r="D178" s="68"/>
      <c r="E178" s="68"/>
      <c r="F178" s="68"/>
      <c r="G178" s="68"/>
      <c r="H178" s="68"/>
      <c r="I178" s="68"/>
      <c r="J178" s="68"/>
      <c r="K178" s="68"/>
      <c r="L178" s="68"/>
    </row>
    <row r="179" spans="1:12" ht="15.75" customHeight="1">
      <c r="A179" s="68"/>
      <c r="B179" s="68"/>
      <c r="C179" s="68"/>
      <c r="D179" s="68"/>
      <c r="E179" s="68"/>
      <c r="F179" s="68"/>
      <c r="G179" s="68"/>
      <c r="H179" s="68"/>
      <c r="I179" s="68"/>
      <c r="J179" s="68"/>
      <c r="K179" s="68"/>
      <c r="L179" s="68"/>
    </row>
    <row r="180" spans="1:12" ht="15.75" customHeight="1">
      <c r="A180" s="68"/>
      <c r="B180" s="68"/>
      <c r="C180" s="68"/>
      <c r="D180" s="68"/>
      <c r="E180" s="68"/>
      <c r="F180" s="68"/>
      <c r="G180" s="68"/>
      <c r="H180" s="68"/>
      <c r="I180" s="68"/>
      <c r="J180" s="68"/>
      <c r="K180" s="68"/>
      <c r="L180" s="68"/>
    </row>
    <row r="181" spans="1:12" ht="15.75" customHeight="1">
      <c r="A181" s="68"/>
      <c r="B181" s="68"/>
      <c r="C181" s="68"/>
      <c r="D181" s="68"/>
      <c r="E181" s="68"/>
      <c r="F181" s="68"/>
      <c r="G181" s="68"/>
      <c r="H181" s="68"/>
      <c r="I181" s="68"/>
      <c r="J181" s="68"/>
      <c r="K181" s="68"/>
      <c r="L181" s="68"/>
    </row>
    <row r="182" spans="1:12" ht="15.75" customHeight="1">
      <c r="A182" s="68"/>
      <c r="B182" s="68"/>
      <c r="C182" s="68"/>
      <c r="D182" s="68"/>
      <c r="E182" s="68"/>
      <c r="F182" s="68"/>
      <c r="G182" s="68"/>
      <c r="H182" s="68"/>
      <c r="I182" s="68"/>
      <c r="J182" s="68"/>
      <c r="K182" s="68"/>
      <c r="L182" s="68"/>
    </row>
    <row r="183" spans="1:12" ht="15.75" customHeight="1">
      <c r="A183" s="68"/>
      <c r="B183" s="68"/>
      <c r="C183" s="68"/>
      <c r="D183" s="68"/>
      <c r="E183" s="68"/>
      <c r="F183" s="68"/>
      <c r="G183" s="68"/>
      <c r="H183" s="68"/>
      <c r="I183" s="68"/>
      <c r="J183" s="68"/>
      <c r="K183" s="68"/>
      <c r="L183" s="68"/>
    </row>
    <row r="184" spans="1:12" ht="15.75" customHeight="1">
      <c r="A184" s="68"/>
      <c r="B184" s="68"/>
      <c r="C184" s="68"/>
      <c r="D184" s="68"/>
      <c r="E184" s="68"/>
      <c r="F184" s="68"/>
      <c r="G184" s="68"/>
      <c r="H184" s="68"/>
      <c r="I184" s="68"/>
      <c r="J184" s="68"/>
      <c r="K184" s="68"/>
      <c r="L184" s="68"/>
    </row>
    <row r="185" spans="1:12" ht="13.5">
      <c r="A185" s="68"/>
      <c r="B185" s="68"/>
      <c r="C185" s="68"/>
      <c r="D185" s="68"/>
      <c r="E185" s="68"/>
      <c r="F185" s="68"/>
      <c r="G185" s="68"/>
      <c r="H185" s="68"/>
      <c r="I185" s="68"/>
      <c r="J185" s="68"/>
      <c r="K185" s="68"/>
      <c r="L185" s="68"/>
    </row>
    <row r="186" spans="1:12" ht="13.5">
      <c r="A186" s="68"/>
      <c r="B186" s="68"/>
      <c r="C186" s="68"/>
      <c r="D186" s="68"/>
      <c r="E186" s="68"/>
      <c r="F186" s="68"/>
      <c r="G186" s="68"/>
      <c r="H186" s="68"/>
      <c r="I186" s="68"/>
      <c r="J186" s="68"/>
      <c r="K186" s="68"/>
      <c r="L186" s="68"/>
    </row>
    <row r="187" spans="1:12" ht="13.5">
      <c r="A187" s="68"/>
      <c r="B187" s="68"/>
      <c r="C187" s="68"/>
      <c r="D187" s="68"/>
      <c r="E187" s="68"/>
      <c r="F187" s="68"/>
      <c r="G187" s="68"/>
      <c r="H187" s="68"/>
      <c r="I187" s="68"/>
      <c r="J187" s="68"/>
      <c r="K187" s="68"/>
      <c r="L187" s="68"/>
    </row>
    <row r="188" spans="1:12" ht="13.5">
      <c r="A188" s="68"/>
      <c r="B188" s="68"/>
      <c r="C188" s="68"/>
      <c r="D188" s="68"/>
      <c r="E188" s="68"/>
      <c r="F188" s="68"/>
      <c r="G188" s="68"/>
      <c r="H188" s="68"/>
      <c r="I188" s="68"/>
      <c r="J188" s="68"/>
      <c r="K188" s="68"/>
      <c r="L188" s="68"/>
    </row>
    <row r="189" spans="7:12" ht="13.5">
      <c r="G189" s="68"/>
      <c r="H189" s="68"/>
      <c r="I189" s="68"/>
      <c r="J189" s="68"/>
      <c r="K189" s="68"/>
      <c r="L189" s="68"/>
    </row>
    <row r="190" spans="7:12" ht="13.5">
      <c r="G190" s="68"/>
      <c r="H190" s="68"/>
      <c r="I190" s="68"/>
      <c r="J190" s="68"/>
      <c r="K190" s="68"/>
      <c r="L190" s="68"/>
    </row>
    <row r="191" ht="13.5">
      <c r="K191" s="68"/>
    </row>
  </sheetData>
  <sheetProtection password="CE37" sheet="1"/>
  <mergeCells count="2">
    <mergeCell ref="A1:L1"/>
    <mergeCell ref="A2:L2"/>
  </mergeCells>
  <printOptions/>
  <pageMargins left="0.75" right="0.8" top="0.5" bottom="0.55" header="0.5" footer="0.5"/>
  <pageSetup fitToHeight="1" fitToWidth="1" orientation="portrait" scale="25"/>
  <headerFooter alignWithMargins="0">
    <oddFooter>&amp;L^&amp;C&amp;D - Page &amp;P&amp;R</oddFooter>
  </headerFooter>
  <drawing r:id="rId3"/>
  <legacyDrawing r:id="rId2"/>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BC99"/>
  <sheetViews>
    <sheetView defaultGridColor="0" zoomScale="137" zoomScaleNormal="137" zoomScalePageLayoutView="0" colorId="22" workbookViewId="0" topLeftCell="X19">
      <selection activeCell="E94" sqref="E94"/>
    </sheetView>
  </sheetViews>
  <sheetFormatPr defaultColWidth="7.57421875" defaultRowHeight="16.5"/>
  <cols>
    <col min="1" max="1" width="25.140625" style="68" customWidth="1"/>
    <col min="2" max="5" width="8.421875" style="86" customWidth="1"/>
    <col min="6" max="6" width="9.00390625" style="86" customWidth="1"/>
    <col min="7" max="10" width="8.421875" style="86" customWidth="1"/>
    <col min="11" max="12" width="8.421875" style="68" customWidth="1"/>
    <col min="13" max="13" width="9.00390625" style="68" customWidth="1"/>
    <col min="14" max="17" width="8.421875" style="68" customWidth="1"/>
    <col min="18" max="18" width="11.421875" style="68" customWidth="1"/>
    <col min="19" max="30" width="8.421875" style="68" customWidth="1"/>
    <col min="31" max="44" width="10.421875" style="68" customWidth="1"/>
    <col min="45" max="45" width="7.57421875" style="86" customWidth="1"/>
    <col min="46" max="16384" width="7.57421875" style="69" customWidth="1"/>
  </cols>
  <sheetData>
    <row r="1" spans="1:25" ht="21.75" customHeight="1" thickBot="1">
      <c r="A1" s="673" t="s">
        <v>343</v>
      </c>
      <c r="B1" s="674"/>
      <c r="C1" s="674"/>
      <c r="D1" s="674"/>
      <c r="E1" s="674"/>
      <c r="F1" s="674"/>
      <c r="G1" s="674"/>
      <c r="H1" s="674"/>
      <c r="I1" s="674"/>
      <c r="J1" s="675"/>
      <c r="K1"/>
      <c r="L1"/>
      <c r="M1"/>
      <c r="N1"/>
      <c r="O1"/>
      <c r="P1"/>
      <c r="Q1"/>
      <c r="R1"/>
      <c r="S1"/>
      <c r="T1"/>
      <c r="U1"/>
      <c r="V1"/>
      <c r="W1"/>
      <c r="X1"/>
      <c r="Y1"/>
    </row>
    <row r="2" spans="1:25" ht="29.25" customHeight="1">
      <c r="A2" s="104" t="s">
        <v>336</v>
      </c>
      <c r="I2"/>
      <c r="J2"/>
      <c r="K2"/>
      <c r="L2"/>
      <c r="M2"/>
      <c r="N2"/>
      <c r="O2"/>
      <c r="P2"/>
      <c r="Q2"/>
      <c r="R2"/>
      <c r="S2"/>
      <c r="T2"/>
      <c r="U2"/>
      <c r="V2"/>
      <c r="W2"/>
      <c r="X2"/>
      <c r="Y2"/>
    </row>
    <row r="3" spans="3:11" ht="26.25" customHeight="1">
      <c r="C3" s="202" t="s">
        <v>23</v>
      </c>
      <c r="D3" s="201">
        <v>120</v>
      </c>
      <c r="I3" s="202" t="s">
        <v>24</v>
      </c>
      <c r="J3" s="256">
        <v>0.5</v>
      </c>
      <c r="K3" s="203" t="s">
        <v>146</v>
      </c>
    </row>
    <row r="4" ht="16.5" customHeight="1" thickBot="1"/>
    <row r="5" spans="1:26" ht="16.5" customHeight="1">
      <c r="A5" s="105" t="s">
        <v>26</v>
      </c>
      <c r="B5" s="106"/>
      <c r="C5" s="106"/>
      <c r="D5" s="106"/>
      <c r="E5" s="107"/>
      <c r="H5" s="105" t="s">
        <v>86</v>
      </c>
      <c r="I5" s="106"/>
      <c r="J5" s="106"/>
      <c r="K5" s="106"/>
      <c r="L5" s="106"/>
      <c r="M5" s="106"/>
      <c r="N5" s="106"/>
      <c r="O5" s="107"/>
      <c r="Q5" s="105" t="s">
        <v>79</v>
      </c>
      <c r="R5" s="106"/>
      <c r="S5" s="106"/>
      <c r="T5" s="106"/>
      <c r="U5" s="106"/>
      <c r="V5" s="106"/>
      <c r="W5" s="106"/>
      <c r="X5" s="106"/>
      <c r="Y5" s="107"/>
      <c r="Z5" s="153"/>
    </row>
    <row r="6" spans="1:25" ht="16.5" customHeight="1">
      <c r="A6" s="108"/>
      <c r="B6" s="109" t="s">
        <v>27</v>
      </c>
      <c r="C6" s="677">
        <v>55724</v>
      </c>
      <c r="D6" s="677"/>
      <c r="E6" s="338"/>
      <c r="H6" s="110"/>
      <c r="I6" s="80"/>
      <c r="J6" s="80"/>
      <c r="K6" s="684" t="s">
        <v>309</v>
      </c>
      <c r="L6" s="684" t="s">
        <v>310</v>
      </c>
      <c r="M6" s="684" t="s">
        <v>17</v>
      </c>
      <c r="N6" s="684" t="s">
        <v>87</v>
      </c>
      <c r="O6" s="690" t="s">
        <v>18</v>
      </c>
      <c r="Q6" s="336"/>
      <c r="Y6" s="338"/>
    </row>
    <row r="7" spans="1:25" ht="16.5" customHeight="1">
      <c r="A7" s="113"/>
      <c r="B7" s="114" t="s">
        <v>28</v>
      </c>
      <c r="C7" s="672">
        <v>0</v>
      </c>
      <c r="D7" s="672"/>
      <c r="E7" s="338"/>
      <c r="H7" s="110"/>
      <c r="I7" s="697" t="s">
        <v>16</v>
      </c>
      <c r="J7" s="115"/>
      <c r="K7" s="685"/>
      <c r="L7" s="685"/>
      <c r="M7" s="685"/>
      <c r="N7" s="685"/>
      <c r="O7" s="691"/>
      <c r="Q7" s="336"/>
      <c r="S7" s="77" t="s">
        <v>25</v>
      </c>
      <c r="T7" s="116">
        <v>125</v>
      </c>
      <c r="U7" s="117" t="s">
        <v>76</v>
      </c>
      <c r="V7" s="111"/>
      <c r="W7" s="112"/>
      <c r="X7" s="112"/>
      <c r="Y7" s="338"/>
    </row>
    <row r="8" spans="1:25" ht="16.5" customHeight="1" thickBot="1">
      <c r="A8" s="113"/>
      <c r="B8" s="114" t="s">
        <v>29</v>
      </c>
      <c r="C8" s="672">
        <v>16</v>
      </c>
      <c r="D8" s="672"/>
      <c r="E8" s="338"/>
      <c r="H8" s="118"/>
      <c r="I8" s="698"/>
      <c r="J8" s="119"/>
      <c r="K8" s="686"/>
      <c r="L8" s="686"/>
      <c r="M8" s="686"/>
      <c r="N8" s="686"/>
      <c r="O8" s="692"/>
      <c r="Q8" s="336"/>
      <c r="U8" s="68" t="s">
        <v>77</v>
      </c>
      <c r="Y8" s="338"/>
    </row>
    <row r="9" spans="1:25" ht="16.5" customHeight="1">
      <c r="A9" s="113"/>
      <c r="B9" s="114" t="s">
        <v>308</v>
      </c>
      <c r="C9" s="672">
        <v>12</v>
      </c>
      <c r="D9" s="672"/>
      <c r="E9" s="338"/>
      <c r="H9" s="681" t="s">
        <v>88</v>
      </c>
      <c r="I9" s="682"/>
      <c r="J9" s="683"/>
      <c r="K9" s="204">
        <v>4</v>
      </c>
      <c r="L9" s="239">
        <v>4</v>
      </c>
      <c r="M9" s="257">
        <v>8</v>
      </c>
      <c r="N9" s="616">
        <v>4</v>
      </c>
      <c r="O9" s="240">
        <v>8</v>
      </c>
      <c r="Q9" s="336"/>
      <c r="Y9" s="338"/>
    </row>
    <row r="10" spans="1:25" ht="16.5" customHeight="1">
      <c r="A10" s="113"/>
      <c r="B10" s="114" t="s">
        <v>373</v>
      </c>
      <c r="C10" s="672">
        <v>13</v>
      </c>
      <c r="D10" s="672"/>
      <c r="E10" s="338"/>
      <c r="H10" s="678" t="s">
        <v>366</v>
      </c>
      <c r="I10" s="679"/>
      <c r="J10" s="680"/>
      <c r="K10" s="120">
        <v>4</v>
      </c>
      <c r="L10" s="614">
        <v>4</v>
      </c>
      <c r="M10" s="257">
        <v>8</v>
      </c>
      <c r="N10" s="616">
        <v>4</v>
      </c>
      <c r="O10" s="240">
        <v>12</v>
      </c>
      <c r="Q10" s="121" t="s">
        <v>78</v>
      </c>
      <c r="R10" s="80"/>
      <c r="T10" s="122"/>
      <c r="Y10" s="338"/>
    </row>
    <row r="11" spans="1:25" ht="16.5" customHeight="1">
      <c r="A11" s="113"/>
      <c r="B11" s="114" t="s">
        <v>30</v>
      </c>
      <c r="C11" s="672">
        <v>10</v>
      </c>
      <c r="D11" s="672"/>
      <c r="E11" s="338"/>
      <c r="H11" s="678" t="s">
        <v>368</v>
      </c>
      <c r="I11" s="679"/>
      <c r="J11" s="680"/>
      <c r="K11" s="120">
        <v>6</v>
      </c>
      <c r="L11" s="614">
        <v>6</v>
      </c>
      <c r="M11" s="257">
        <v>20</v>
      </c>
      <c r="N11" s="616">
        <v>6</v>
      </c>
      <c r="O11" s="240">
        <v>12</v>
      </c>
      <c r="Q11" s="513"/>
      <c r="R11" s="514"/>
      <c r="S11" s="517" t="str">
        <f aca="true" t="shared" si="0" ref="S11:S17">H9</f>
        <v>Infants (6 wks - 12 months)</v>
      </c>
      <c r="T11" s="120">
        <v>0</v>
      </c>
      <c r="V11" s="123" t="s">
        <v>96</v>
      </c>
      <c r="W11" s="95"/>
      <c r="Y11" s="339"/>
    </row>
    <row r="12" spans="1:25" ht="16.5" customHeight="1">
      <c r="A12" s="113"/>
      <c r="B12" s="114" t="s">
        <v>31</v>
      </c>
      <c r="C12" s="672">
        <v>10</v>
      </c>
      <c r="D12" s="672"/>
      <c r="E12" s="338"/>
      <c r="H12" s="678" t="s">
        <v>367</v>
      </c>
      <c r="I12" s="679"/>
      <c r="J12" s="680"/>
      <c r="K12" s="120">
        <v>8</v>
      </c>
      <c r="L12" s="614">
        <v>8</v>
      </c>
      <c r="M12" s="257">
        <v>20</v>
      </c>
      <c r="N12" s="616">
        <v>9</v>
      </c>
      <c r="O12" s="240">
        <v>18</v>
      </c>
      <c r="Q12" s="513"/>
      <c r="R12" s="514"/>
      <c r="S12" s="517" t="str">
        <f t="shared" si="0"/>
        <v>Toddlers (12mo-24mo)</v>
      </c>
      <c r="T12" s="120">
        <v>0</v>
      </c>
      <c r="V12" s="334"/>
      <c r="W12" s="335"/>
      <c r="X12" s="124" t="s">
        <v>69</v>
      </c>
      <c r="Y12" s="337" t="s">
        <v>70</v>
      </c>
    </row>
    <row r="13" spans="1:25" ht="16.5" customHeight="1" thickBot="1">
      <c r="A13" s="125"/>
      <c r="B13" s="126" t="s">
        <v>85</v>
      </c>
      <c r="C13" s="676">
        <v>108728</v>
      </c>
      <c r="D13" s="677"/>
      <c r="E13" s="127" t="s">
        <v>95</v>
      </c>
      <c r="H13" s="678" t="s">
        <v>369</v>
      </c>
      <c r="I13" s="679"/>
      <c r="J13" s="680"/>
      <c r="K13" s="120">
        <v>10</v>
      </c>
      <c r="L13" s="614">
        <v>10</v>
      </c>
      <c r="M13" s="257">
        <v>24</v>
      </c>
      <c r="N13" s="616">
        <v>10</v>
      </c>
      <c r="O13" s="240">
        <v>20</v>
      </c>
      <c r="Q13" s="513"/>
      <c r="R13" s="514"/>
      <c r="S13" s="517" t="str">
        <f t="shared" si="0"/>
        <v>Toddlers (24mo to 36 mo)</v>
      </c>
      <c r="T13" s="120">
        <v>300</v>
      </c>
      <c r="V13" s="100"/>
      <c r="W13" s="335"/>
      <c r="X13" s="128" t="s">
        <v>80</v>
      </c>
      <c r="Y13" s="129" t="s">
        <v>89</v>
      </c>
    </row>
    <row r="14" spans="1:25" ht="16.5" customHeight="1">
      <c r="A14" s="86"/>
      <c r="B14" s="68"/>
      <c r="C14" s="68"/>
      <c r="D14" s="68"/>
      <c r="E14" s="68"/>
      <c r="F14" s="68"/>
      <c r="H14" s="678" t="s">
        <v>370</v>
      </c>
      <c r="I14" s="679"/>
      <c r="J14" s="680"/>
      <c r="K14" s="120">
        <v>17</v>
      </c>
      <c r="L14" s="614">
        <v>17</v>
      </c>
      <c r="M14" s="257">
        <v>34</v>
      </c>
      <c r="N14" s="616">
        <v>15</v>
      </c>
      <c r="O14" s="240" t="s">
        <v>354</v>
      </c>
      <c r="Q14" s="513"/>
      <c r="R14" s="514"/>
      <c r="S14" s="517" t="str">
        <f t="shared" si="0"/>
        <v>3's Classroom</v>
      </c>
      <c r="T14" s="120">
        <v>275</v>
      </c>
      <c r="V14" s="130"/>
      <c r="W14" s="131" t="s">
        <v>19</v>
      </c>
      <c r="X14" s="120">
        <v>510</v>
      </c>
      <c r="Y14" s="120">
        <v>20</v>
      </c>
    </row>
    <row r="15" spans="6:25" ht="16.5" customHeight="1">
      <c r="F15" s="68"/>
      <c r="H15" s="678" t="s">
        <v>353</v>
      </c>
      <c r="I15" s="679"/>
      <c r="J15" s="680"/>
      <c r="K15" s="120">
        <v>17</v>
      </c>
      <c r="L15" s="614">
        <v>17</v>
      </c>
      <c r="M15" s="257">
        <v>34</v>
      </c>
      <c r="N15" s="616">
        <v>15</v>
      </c>
      <c r="O15" s="240">
        <v>30</v>
      </c>
      <c r="Q15" s="513"/>
      <c r="R15" s="514"/>
      <c r="S15" s="517" t="str">
        <f t="shared" si="0"/>
        <v>4's Clssroom</v>
      </c>
      <c r="T15" s="120">
        <v>275</v>
      </c>
      <c r="V15" s="130"/>
      <c r="W15" s="131" t="s">
        <v>20</v>
      </c>
      <c r="X15" s="120">
        <v>510</v>
      </c>
      <c r="Y15" s="120">
        <v>20</v>
      </c>
    </row>
    <row r="16" spans="8:25" ht="16.5" customHeight="1" thickBot="1">
      <c r="H16" s="194" t="s">
        <v>140</v>
      </c>
      <c r="I16" s="194"/>
      <c r="J16" s="194"/>
      <c r="K16" s="194"/>
      <c r="L16" s="194"/>
      <c r="M16" s="194"/>
      <c r="N16" s="518"/>
      <c r="O16" s="136"/>
      <c r="Q16" s="513"/>
      <c r="R16" s="514"/>
      <c r="S16" s="517" t="str">
        <f t="shared" si="0"/>
        <v>Before/After Care</v>
      </c>
      <c r="T16" s="120">
        <v>50</v>
      </c>
      <c r="V16" s="132"/>
      <c r="W16" s="133" t="s">
        <v>21</v>
      </c>
      <c r="X16" s="120">
        <v>400</v>
      </c>
      <c r="Y16" s="120">
        <v>20</v>
      </c>
    </row>
    <row r="17" spans="8:25" ht="16.5" customHeight="1">
      <c r="H17" s="134" t="s">
        <v>101</v>
      </c>
      <c r="I17" s="68"/>
      <c r="Q17" s="513"/>
      <c r="R17" s="514"/>
      <c r="S17" s="515" t="str">
        <f t="shared" si="0"/>
        <v>Summer Camp</v>
      </c>
      <c r="T17" s="120">
        <v>125</v>
      </c>
      <c r="Y17" s="340"/>
    </row>
    <row r="18" spans="8:25" ht="16.5" customHeight="1" thickBot="1">
      <c r="H18" s="163" t="s">
        <v>100</v>
      </c>
      <c r="I18" s="68"/>
      <c r="O18" s="142"/>
      <c r="Q18" s="194" t="s">
        <v>140</v>
      </c>
      <c r="R18" s="135"/>
      <c r="S18" s="193"/>
      <c r="T18" s="135"/>
      <c r="U18" s="341"/>
      <c r="V18" s="341"/>
      <c r="W18" s="341"/>
      <c r="X18" s="341"/>
      <c r="Y18" s="136"/>
    </row>
    <row r="19" spans="1:55" ht="26.25" customHeight="1">
      <c r="A19" s="137" t="s">
        <v>90</v>
      </c>
      <c r="B19" s="138"/>
      <c r="C19" s="138"/>
      <c r="D19" s="138"/>
      <c r="E19" s="138"/>
      <c r="F19" s="139"/>
      <c r="G19" s="68"/>
      <c r="AS19" s="68"/>
      <c r="AT19" s="68"/>
      <c r="AU19" s="68"/>
      <c r="AV19" s="68"/>
      <c r="AW19" s="68"/>
      <c r="AX19" s="68"/>
      <c r="AY19" s="68"/>
      <c r="AZ19" s="68"/>
      <c r="BA19" s="68"/>
      <c r="BB19" s="68"/>
      <c r="BC19" s="68"/>
    </row>
    <row r="20" spans="1:23" ht="19.5" customHeight="1">
      <c r="A20" s="244" t="s">
        <v>72</v>
      </c>
      <c r="B20" s="345"/>
      <c r="C20" s="345"/>
      <c r="D20" s="345"/>
      <c r="E20" s="345"/>
      <c r="F20" s="346"/>
      <c r="G20" s="346"/>
      <c r="H20" s="346"/>
      <c r="I20" s="346"/>
      <c r="J20" s="346"/>
      <c r="K20" s="95"/>
      <c r="L20" s="95"/>
      <c r="M20" s="95"/>
      <c r="N20" s="95"/>
      <c r="O20" s="95"/>
      <c r="P20" s="95"/>
      <c r="Q20" s="95"/>
      <c r="R20" s="95"/>
      <c r="S20" s="95"/>
      <c r="T20" s="95"/>
      <c r="U20" s="95"/>
      <c r="V20" s="95"/>
      <c r="W20" s="95"/>
    </row>
    <row r="21" spans="1:23" ht="16.5" customHeight="1">
      <c r="A21" s="343" t="s">
        <v>138</v>
      </c>
      <c r="B21" s="343"/>
      <c r="C21" s="343"/>
      <c r="D21" s="343"/>
      <c r="E21" s="343"/>
      <c r="F21" s="343"/>
      <c r="G21" s="343"/>
      <c r="H21" s="343"/>
      <c r="I21" s="343"/>
      <c r="J21" s="343"/>
      <c r="K21" s="343"/>
      <c r="L21" s="343"/>
      <c r="M21" s="343"/>
      <c r="N21" s="343"/>
      <c r="O21" s="343"/>
      <c r="P21" s="343"/>
      <c r="Q21" s="343"/>
      <c r="R21" s="343"/>
      <c r="S21" s="343"/>
      <c r="T21" s="343"/>
      <c r="U21" s="343"/>
      <c r="V21" s="343"/>
      <c r="W21" s="100"/>
    </row>
    <row r="22" spans="1:23" ht="16.5" customHeight="1">
      <c r="A22" s="343" t="s">
        <v>136</v>
      </c>
      <c r="B22" s="343"/>
      <c r="C22" s="343"/>
      <c r="D22" s="343"/>
      <c r="E22" s="343"/>
      <c r="F22" s="343"/>
      <c r="G22" s="343"/>
      <c r="H22" s="343"/>
      <c r="I22" s="343"/>
      <c r="J22" s="343"/>
      <c r="K22" s="343"/>
      <c r="L22" s="343"/>
      <c r="M22" s="343"/>
      <c r="N22" s="343"/>
      <c r="O22" s="343"/>
      <c r="P22" s="100"/>
      <c r="Q22" s="100"/>
      <c r="R22" s="100"/>
      <c r="S22" s="100"/>
      <c r="T22" s="100">
        <f>COUNT(AE26:AP26)</f>
        <v>11</v>
      </c>
      <c r="U22" s="100"/>
      <c r="V22" s="100"/>
      <c r="W22" s="100"/>
    </row>
    <row r="23" spans="1:23" ht="16.5" customHeight="1" thickBot="1">
      <c r="A23" s="96"/>
      <c r="B23" s="96"/>
      <c r="C23" s="96"/>
      <c r="D23" s="96"/>
      <c r="E23" s="96"/>
      <c r="F23" s="96"/>
      <c r="G23" s="102"/>
      <c r="H23" s="102"/>
      <c r="I23" s="102"/>
      <c r="J23" s="102"/>
      <c r="K23" s="102"/>
      <c r="L23" s="102"/>
      <c r="M23" s="102"/>
      <c r="N23" s="102"/>
      <c r="O23" s="102"/>
      <c r="P23" s="102"/>
      <c r="Q23" s="102"/>
      <c r="R23" s="102"/>
      <c r="S23" s="96"/>
      <c r="T23" s="565">
        <f>INT(AE27+((AR27-AE27)/12*COUNT(AE27:AF27)))</f>
        <v>0</v>
      </c>
      <c r="U23" s="96"/>
      <c r="V23" s="96"/>
      <c r="W23" s="96"/>
    </row>
    <row r="24" spans="1:39" ht="21" customHeight="1">
      <c r="A24"/>
      <c r="B24" s="68"/>
      <c r="C24" s="142"/>
      <c r="D24" s="693"/>
      <c r="E24" s="374"/>
      <c r="F24" s="695" t="s">
        <v>32</v>
      </c>
      <c r="G24" s="342" t="s">
        <v>151</v>
      </c>
      <c r="H24" s="343"/>
      <c r="I24" s="343"/>
      <c r="J24" s="343"/>
      <c r="K24" s="343"/>
      <c r="L24" s="343"/>
      <c r="M24" s="343"/>
      <c r="N24" s="343"/>
      <c r="O24" s="343"/>
      <c r="P24" s="100"/>
      <c r="Q24" s="347"/>
      <c r="R24" s="687" t="s">
        <v>148</v>
      </c>
      <c r="S24" s="153"/>
      <c r="W24" s="528" t="s">
        <v>337</v>
      </c>
      <c r="X24" s="529"/>
      <c r="Y24" s="529"/>
      <c r="Z24" s="529"/>
      <c r="AJ24" s="528" t="s">
        <v>338</v>
      </c>
      <c r="AK24" s="529"/>
      <c r="AL24" s="529"/>
      <c r="AM24" s="529"/>
    </row>
    <row r="25" spans="2:44" ht="20.25" customHeight="1">
      <c r="B25" s="143"/>
      <c r="C25" s="142"/>
      <c r="D25" s="694"/>
      <c r="E25" s="375"/>
      <c r="F25" s="696"/>
      <c r="G25" s="342" t="s">
        <v>152</v>
      </c>
      <c r="H25" s="344"/>
      <c r="I25" s="344"/>
      <c r="J25" s="344"/>
      <c r="K25" s="344"/>
      <c r="L25" s="344"/>
      <c r="M25" s="344"/>
      <c r="N25" s="344"/>
      <c r="O25" s="100"/>
      <c r="P25" s="344"/>
      <c r="Q25" s="348"/>
      <c r="R25" s="689"/>
      <c r="S25" s="144"/>
      <c r="AE25" s="687" t="s">
        <v>135</v>
      </c>
      <c r="AR25" s="699" t="s">
        <v>301</v>
      </c>
    </row>
    <row r="26" spans="1:44" ht="34.5" customHeight="1" thickBot="1">
      <c r="A26" s="380"/>
      <c r="B26" s="381" t="s">
        <v>300</v>
      </c>
      <c r="C26" s="382">
        <f>D26-30</f>
        <v>44745</v>
      </c>
      <c r="D26" s="382">
        <f>E26-30</f>
        <v>44775</v>
      </c>
      <c r="E26" s="145">
        <f>F26-30</f>
        <v>44805</v>
      </c>
      <c r="F26" s="146">
        <f>'Mortgage Calc'!H14</f>
        <v>44835</v>
      </c>
      <c r="G26" s="378">
        <f>F26+50</f>
        <v>44885</v>
      </c>
      <c r="H26" s="379">
        <f>G26+30</f>
        <v>44915</v>
      </c>
      <c r="I26" s="379">
        <f aca="true" t="shared" si="1" ref="I26:Q26">H26+30</f>
        <v>44945</v>
      </c>
      <c r="J26" s="615">
        <f t="shared" si="1"/>
        <v>44975</v>
      </c>
      <c r="K26" s="379">
        <f t="shared" si="1"/>
        <v>45005</v>
      </c>
      <c r="L26" s="379">
        <f t="shared" si="1"/>
        <v>45035</v>
      </c>
      <c r="M26" s="379">
        <f t="shared" si="1"/>
        <v>45065</v>
      </c>
      <c r="N26" s="379">
        <f t="shared" si="1"/>
        <v>45095</v>
      </c>
      <c r="O26" s="379">
        <f t="shared" si="1"/>
        <v>45125</v>
      </c>
      <c r="P26" s="379">
        <f t="shared" si="1"/>
        <v>45155</v>
      </c>
      <c r="Q26" s="379">
        <f t="shared" si="1"/>
        <v>45185</v>
      </c>
      <c r="R26" s="688"/>
      <c r="S26" s="382">
        <f>Q26+30</f>
        <v>45215</v>
      </c>
      <c r="T26" s="382">
        <f aca="true" t="shared" si="2" ref="T26:AD26">S26+30</f>
        <v>45245</v>
      </c>
      <c r="U26" s="382">
        <f t="shared" si="2"/>
        <v>45275</v>
      </c>
      <c r="V26" s="382">
        <f t="shared" si="2"/>
        <v>45305</v>
      </c>
      <c r="W26" s="382">
        <f t="shared" si="2"/>
        <v>45335</v>
      </c>
      <c r="X26" s="382">
        <f t="shared" si="2"/>
        <v>45365</v>
      </c>
      <c r="Y26" s="382">
        <f t="shared" si="2"/>
        <v>45395</v>
      </c>
      <c r="Z26" s="382">
        <f t="shared" si="2"/>
        <v>45425</v>
      </c>
      <c r="AA26" s="382">
        <f t="shared" si="2"/>
        <v>45455</v>
      </c>
      <c r="AB26" s="382">
        <f t="shared" si="2"/>
        <v>45485</v>
      </c>
      <c r="AC26" s="382">
        <f t="shared" si="2"/>
        <v>45515</v>
      </c>
      <c r="AD26" s="382">
        <f t="shared" si="2"/>
        <v>45545</v>
      </c>
      <c r="AE26" s="688"/>
      <c r="AF26" s="382">
        <f>AD26+30</f>
        <v>45575</v>
      </c>
      <c r="AG26" s="382">
        <f aca="true" t="shared" si="3" ref="AG26:AQ26">AF26+30</f>
        <v>45605</v>
      </c>
      <c r="AH26" s="382">
        <f t="shared" si="3"/>
        <v>45635</v>
      </c>
      <c r="AI26" s="382">
        <f t="shared" si="3"/>
        <v>45665</v>
      </c>
      <c r="AJ26" s="382">
        <f t="shared" si="3"/>
        <v>45695</v>
      </c>
      <c r="AK26" s="382">
        <f t="shared" si="3"/>
        <v>45725</v>
      </c>
      <c r="AL26" s="382">
        <f t="shared" si="3"/>
        <v>45755</v>
      </c>
      <c r="AM26" s="382">
        <f t="shared" si="3"/>
        <v>45785</v>
      </c>
      <c r="AN26" s="382">
        <f t="shared" si="3"/>
        <v>45815</v>
      </c>
      <c r="AO26" s="382">
        <f t="shared" si="3"/>
        <v>45845</v>
      </c>
      <c r="AP26" s="382">
        <f t="shared" si="3"/>
        <v>45875</v>
      </c>
      <c r="AQ26" s="382">
        <f t="shared" si="3"/>
        <v>45905</v>
      </c>
      <c r="AR26" s="688"/>
    </row>
    <row r="27" spans="1:48" ht="16.5" customHeight="1" thickTop="1">
      <c r="A27" s="147" t="str">
        <f aca="true" t="shared" si="4" ref="A27:A33">S11</f>
        <v>Infants (6 wks - 12 months)</v>
      </c>
      <c r="B27" s="271">
        <f aca="true" t="shared" si="5" ref="B27:B33">L9</f>
        <v>4</v>
      </c>
      <c r="C27" s="148"/>
      <c r="D27" s="271"/>
      <c r="E27" s="148"/>
      <c r="F27" s="222">
        <v>0</v>
      </c>
      <c r="G27" s="333">
        <f>INT($F27+($R27-$F27)/12*COUNT($F26:F26))</f>
        <v>0</v>
      </c>
      <c r="H27" s="333">
        <f>INT($F27+($R27-$F27)/12*COUNT($F26:G26))</f>
        <v>0</v>
      </c>
      <c r="I27" s="333">
        <f>INT($F27+($R27-$F27)/12*COUNT($F26:H26))</f>
        <v>0</v>
      </c>
      <c r="J27" s="333">
        <f>INT($F27+($R27-$F27)/12*COUNT($F26:I26))</f>
        <v>0</v>
      </c>
      <c r="K27" s="333">
        <f>INT($F27+($R27-$F27)/12*COUNT($F26:J26))</f>
        <v>0</v>
      </c>
      <c r="L27" s="333">
        <f>INT($F27+($R27-$F27)/12*COUNT($F26:K26))</f>
        <v>0</v>
      </c>
      <c r="M27" s="333">
        <f>INT($F27+($R27-$F27)/12*COUNT($F26:L26))</f>
        <v>0</v>
      </c>
      <c r="N27" s="333">
        <f>INT($F27+($R27-$F27)/12*COUNT($F26:M26))</f>
        <v>0</v>
      </c>
      <c r="O27" s="333">
        <f>INT($F27+($R27-$F27)/12*COUNT($F26:N26))</f>
        <v>0</v>
      </c>
      <c r="P27" s="333">
        <f>INT($F27+($R27-$F27)/12*COUNT($F26:O26))</f>
        <v>0</v>
      </c>
      <c r="Q27" s="333">
        <f>INT($F27+($R27-$F27)/12*COUNT($F26:P26))</f>
        <v>0</v>
      </c>
      <c r="R27" s="204">
        <v>0</v>
      </c>
      <c r="S27" s="333">
        <f>INT($R27+($AE27-$R27)/12*COUNT($R$26:R$26))</f>
        <v>0</v>
      </c>
      <c r="T27" s="333">
        <f>INT($R27+($AE27-$R27)/12*COUNT($R$26:S$26))</f>
        <v>0</v>
      </c>
      <c r="U27" s="333">
        <f>INT($R27+($AE27-$R27)/12*COUNT($R$26:T$26))</f>
        <v>0</v>
      </c>
      <c r="V27" s="333">
        <f>INT($R27+($AE27-$R27)/12*COUNT($R$26:U$26))</f>
        <v>0</v>
      </c>
      <c r="W27" s="333">
        <f>INT($R27+($AE27-$R27)/12*COUNT($R$26:V$26))</f>
        <v>0</v>
      </c>
      <c r="X27" s="333">
        <f>INT($R27+($AE27-$R27)/12*COUNT($R$26:W$26))</f>
        <v>0</v>
      </c>
      <c r="Y27" s="333">
        <f>INT($R27+($AE27-$R27)/12*COUNT($R$26:X$26))</f>
        <v>0</v>
      </c>
      <c r="Z27" s="333">
        <f>INT($R27+($AE27-$R27)/12*COUNT($R$26:Y$26))</f>
        <v>0</v>
      </c>
      <c r="AA27" s="333">
        <f>INT($R27+($AE27-$R27)/12*COUNT($R$26:Z$26))</f>
        <v>0</v>
      </c>
      <c r="AB27" s="333">
        <f>INT($R27+($AE27-$R27)/12*COUNT($R$26:AA$26))</f>
        <v>0</v>
      </c>
      <c r="AC27" s="333">
        <f>INT($R27+($AE27-$R27)/12*COUNT($R$26:AB$26))</f>
        <v>0</v>
      </c>
      <c r="AD27" s="333">
        <f>INT($R27+($AE27-$R27)/12*COUNT($R$26:AC$26))</f>
        <v>0</v>
      </c>
      <c r="AE27" s="227">
        <v>0</v>
      </c>
      <c r="AF27" s="333">
        <f>INT($AE27+($AR27-$AE27)/12*COUNT($AE$26:AE$26))</f>
        <v>0</v>
      </c>
      <c r="AG27" s="333">
        <f>INT($AE27+($AR27-$AE27)/12*COUNT($AE$26:AF$26))</f>
        <v>0</v>
      </c>
      <c r="AH27" s="333">
        <f>INT($AE27+($AR27-$AE27)/12*COUNT($AE$26:AG$26))</f>
        <v>0</v>
      </c>
      <c r="AI27" s="333">
        <f>INT($AE27+($AR27-$AE27)/12*COUNT($AE$26:AH$26))</f>
        <v>0</v>
      </c>
      <c r="AJ27" s="333">
        <f>INT($AE27+($AR27-$AE27)/12*COUNT($AE$26:AI$26))</f>
        <v>0</v>
      </c>
      <c r="AK27" s="333">
        <f>INT($AE27+($AR27-$AE27)/12*COUNT($AE$26:AJ$26))</f>
        <v>0</v>
      </c>
      <c r="AL27" s="333">
        <f>INT($AE27+($AR27-$AE27)/12*COUNT($AE$26:AK$26))</f>
        <v>0</v>
      </c>
      <c r="AM27" s="333">
        <f>INT($AE27+($AR27-$AE27)/12*COUNT($AE$26:AL$26))</f>
        <v>0</v>
      </c>
      <c r="AN27" s="333">
        <f>INT($AE27+($AR27-$AE27)/12*COUNT($AE$26:AM$26))</f>
        <v>0</v>
      </c>
      <c r="AO27" s="333">
        <f>INT($AE27+($AR27-$AE27)/12*COUNT($AE$26:AN$26))</f>
        <v>0</v>
      </c>
      <c r="AP27" s="333">
        <f>INT($AE27+($AR27-$AE27)/12*COUNT($AE$26:AO$26))</f>
        <v>0</v>
      </c>
      <c r="AQ27" s="333">
        <f>INT($AE27+($AR27-$AE27)/12*COUNT($AE$26:AP$26))</f>
        <v>0</v>
      </c>
      <c r="AR27" s="227">
        <v>0</v>
      </c>
      <c r="AS27" s="211" t="str">
        <f aca="true" t="shared" si="6" ref="AS27:AS33">H9</f>
        <v>Infants (6 wks - 12 months)</v>
      </c>
      <c r="AT27" s="212"/>
      <c r="AU27" s="212"/>
      <c r="AV27" s="213"/>
    </row>
    <row r="28" spans="1:48" ht="16.5" customHeight="1">
      <c r="A28" s="147" t="str">
        <f t="shared" si="4"/>
        <v>Toddlers (12mo-24mo)</v>
      </c>
      <c r="B28" s="271">
        <f t="shared" si="5"/>
        <v>4</v>
      </c>
      <c r="C28" s="148"/>
      <c r="D28" s="271"/>
      <c r="E28" s="271"/>
      <c r="F28" s="223">
        <v>0</v>
      </c>
      <c r="G28" s="333">
        <f>INT($F28+($R28-$F28)/12*COUNT($F27:F27))</f>
        <v>0</v>
      </c>
      <c r="H28" s="333">
        <f>INT($F28+($R28-$F28)/12*COUNT($F27:G27))</f>
        <v>0</v>
      </c>
      <c r="I28" s="333">
        <f>INT($F28+($R28-$F28)/12*COUNT($F27:H27))</f>
        <v>0</v>
      </c>
      <c r="J28" s="333">
        <f>INT($F28+($R28-$F28)/12*COUNT($F27:I27))</f>
        <v>0</v>
      </c>
      <c r="K28" s="333">
        <f>INT($F28+($R28-$F28)/12*COUNT($F27:J27))</f>
        <v>0</v>
      </c>
      <c r="L28" s="333">
        <f>INT($F28+($R28-$F28)/12*COUNT($F27:K27))</f>
        <v>0</v>
      </c>
      <c r="M28" s="333">
        <f>INT($F28+($R28-$F28)/12*COUNT($F27:L27))</f>
        <v>0</v>
      </c>
      <c r="N28" s="333">
        <f>INT($F28+($R28-$F28)/12*COUNT($F27:M27))</f>
        <v>0</v>
      </c>
      <c r="O28" s="333">
        <f>INT($F28+($R28-$F28)/12*COUNT($F27:N27))</f>
        <v>0</v>
      </c>
      <c r="P28" s="333">
        <f>INT($F28+($R28-$F28)/12*COUNT($F27:O27))</f>
        <v>0</v>
      </c>
      <c r="Q28" s="333">
        <f>INT($F28+($R28-$F28)/12*COUNT($F27:P27))</f>
        <v>0</v>
      </c>
      <c r="R28" s="204">
        <v>0</v>
      </c>
      <c r="S28" s="333">
        <f>INT($R28+($AE28-$R28)/12*COUNT($R$26:R$26))</f>
        <v>0</v>
      </c>
      <c r="T28" s="333">
        <f>INT($R28+($AE28-$R28)/12*COUNT($R$26:S$26))</f>
        <v>0</v>
      </c>
      <c r="U28" s="333">
        <f>INT($R28+($AE28-$R28)/12*COUNT($R$26:T$26))</f>
        <v>0</v>
      </c>
      <c r="V28" s="333">
        <f>INT($R28+($AE28-$R28)/12*COUNT($R$26:U$26))</f>
        <v>0</v>
      </c>
      <c r="W28" s="333">
        <f>INT($R28+($AE28-$R28)/12*COUNT($R$26:V$26))</f>
        <v>0</v>
      </c>
      <c r="X28" s="333">
        <f>INT($R28+($AE28-$R28)/12*COUNT($R$26:W$26))</f>
        <v>0</v>
      </c>
      <c r="Y28" s="333">
        <f>INT($R28+($AE28-$R28)/12*COUNT($R$26:X$26))</f>
        <v>0</v>
      </c>
      <c r="Z28" s="333">
        <f>INT($R28+($AE28-$R28)/12*COUNT($R$26:Y$26))</f>
        <v>0</v>
      </c>
      <c r="AA28" s="333">
        <f>INT($R28+($AE28-$R28)/12*COUNT($R$26:Z$26))</f>
        <v>0</v>
      </c>
      <c r="AB28" s="333">
        <f>INT($R28+($AE28-$R28)/12*COUNT($R$26:AA$26))</f>
        <v>0</v>
      </c>
      <c r="AC28" s="333">
        <f>INT($R28+($AE28-$R28)/12*COUNT($R$26:AB$26))</f>
        <v>0</v>
      </c>
      <c r="AD28" s="333">
        <f>INT($R28+($AE28-$R28)/12*COUNT($R$26:AC$26))</f>
        <v>0</v>
      </c>
      <c r="AE28" s="204">
        <v>0</v>
      </c>
      <c r="AF28" s="333">
        <f>INT($AE28+($AR28-$AE28)/12*COUNT($AE$26:AE$26))</f>
        <v>0</v>
      </c>
      <c r="AG28" s="333">
        <f>INT($AE28+($AR28-$AE28)/12*COUNT($AE$26:AF$26))</f>
        <v>0</v>
      </c>
      <c r="AH28" s="333">
        <f>INT($AE28+($AR28-$AE28)/12*COUNT($AE$26:AG$26))</f>
        <v>0</v>
      </c>
      <c r="AI28" s="333">
        <f>INT($AE28+($AR28-$AE28)/12*COUNT($AE$26:AH$26))</f>
        <v>0</v>
      </c>
      <c r="AJ28" s="333">
        <f>INT($AE28+($AR28-$AE28)/12*COUNT($AE$26:AI$26))</f>
        <v>0</v>
      </c>
      <c r="AK28" s="333">
        <f>INT($AE28+($AR28-$AE28)/12*COUNT($AE$26:AJ$26))</f>
        <v>0</v>
      </c>
      <c r="AL28" s="333">
        <f>INT($AE28+($AR28-$AE28)/12*COUNT($AE$26:AK$26))</f>
        <v>0</v>
      </c>
      <c r="AM28" s="333">
        <f>INT($AE28+($AR28-$AE28)/12*COUNT($AE$26:AL$26))</f>
        <v>0</v>
      </c>
      <c r="AN28" s="333">
        <f>INT($AE28+($AR28-$AE28)/12*COUNT($AE$26:AM$26))</f>
        <v>0</v>
      </c>
      <c r="AO28" s="333">
        <f>INT($AE28+($AR28-$AE28)/12*COUNT($AE$26:AN$26))</f>
        <v>0</v>
      </c>
      <c r="AP28" s="333">
        <f>INT($AE28+($AR28-$AE28)/12*COUNT($AE$26:AO$26))</f>
        <v>0</v>
      </c>
      <c r="AQ28" s="333">
        <f>INT($AE28+($AR28-$AE28)/12*COUNT($AE$26:AP$26))</f>
        <v>0</v>
      </c>
      <c r="AR28" s="204">
        <v>0</v>
      </c>
      <c r="AS28" s="214" t="str">
        <f t="shared" si="6"/>
        <v>Toddlers (12mo-24mo)</v>
      </c>
      <c r="AT28" s="215"/>
      <c r="AU28" s="215"/>
      <c r="AV28" s="216"/>
    </row>
    <row r="29" spans="1:48" ht="16.5" customHeight="1">
      <c r="A29" s="147" t="str">
        <f t="shared" si="4"/>
        <v>Toddlers (24mo to 36 mo)</v>
      </c>
      <c r="B29" s="271">
        <f t="shared" si="5"/>
        <v>6</v>
      </c>
      <c r="C29" s="148"/>
      <c r="D29" s="271"/>
      <c r="E29" s="148"/>
      <c r="F29" s="223">
        <v>8</v>
      </c>
      <c r="G29" s="333">
        <f>INT($F29+($R29-$F29)/12*COUNT($F28:F28))</f>
        <v>8</v>
      </c>
      <c r="H29" s="333">
        <f>INT($F29+($R29-$F29)/12*COUNT($F28:G28))</f>
        <v>8</v>
      </c>
      <c r="I29" s="333">
        <f>INT($F29+($R29-$F29)/12*COUNT($F28:H28))</f>
        <v>9</v>
      </c>
      <c r="J29" s="333">
        <f>INT($F29+($R29-$F29)/12*COUNT($F28:I28))</f>
        <v>9</v>
      </c>
      <c r="K29" s="333">
        <f>INT($F29+($R29-$F29)/12*COUNT($F28:J28))</f>
        <v>9</v>
      </c>
      <c r="L29" s="333">
        <f>INT($F29+($R29-$F29)/12*COUNT($F28:K28))</f>
        <v>10</v>
      </c>
      <c r="M29" s="333">
        <f>INT($F29+($R29-$F29)/12*COUNT($F28:L28))</f>
        <v>10</v>
      </c>
      <c r="N29" s="333">
        <f>INT($F29+($R29-$F29)/12*COUNT($F28:M28))</f>
        <v>10</v>
      </c>
      <c r="O29" s="333">
        <f>INT($F29+($R29-$F29)/12*COUNT($F28:N28))</f>
        <v>11</v>
      </c>
      <c r="P29" s="333">
        <f>INT($F29+($R29-$F29)/12*COUNT($F28:O28))</f>
        <v>11</v>
      </c>
      <c r="Q29" s="333">
        <f>INT($F29+($R29-$F29)/12*COUNT($F28:P28))</f>
        <v>11</v>
      </c>
      <c r="R29" s="204">
        <v>12</v>
      </c>
      <c r="S29" s="333">
        <f>INT($R29+($AE29-$R29)/12*COUNT($R$26:R$26))</f>
        <v>12</v>
      </c>
      <c r="T29" s="333">
        <f>INT($R29+($AE29-$R29)/12*COUNT($R$26:S$26))</f>
        <v>12</v>
      </c>
      <c r="U29" s="333">
        <f>INT($R29+($AE29-$R29)/12*COUNT($R$26:T$26))</f>
        <v>12</v>
      </c>
      <c r="V29" s="333">
        <f>INT($R29+($AE29-$R29)/12*COUNT($R$26:U$26))</f>
        <v>13</v>
      </c>
      <c r="W29" s="333">
        <f>INT($R29+($AE29-$R29)/12*COUNT($R$26:V$26))</f>
        <v>13</v>
      </c>
      <c r="X29" s="333">
        <f>INT($R29+($AE29-$R29)/12*COUNT($R$26:W$26))</f>
        <v>13</v>
      </c>
      <c r="Y29" s="333">
        <f>INT($R29+($AE29-$R29)/12*COUNT($R$26:X$26))</f>
        <v>14</v>
      </c>
      <c r="Z29" s="333">
        <f>INT($R29+($AE29-$R29)/12*COUNT($R$26:Y$26))</f>
        <v>14</v>
      </c>
      <c r="AA29" s="333">
        <f>INT($R29+($AE29-$R29)/12*COUNT($R$26:Z$26))</f>
        <v>14</v>
      </c>
      <c r="AB29" s="333">
        <f>INT($R29+($AE29-$R29)/12*COUNT($R$26:AA$26))</f>
        <v>15</v>
      </c>
      <c r="AC29" s="333">
        <f>INT($R29+($AE29-$R29)/12*COUNT($R$26:AB$26))</f>
        <v>15</v>
      </c>
      <c r="AD29" s="333">
        <f>INT($R29+($AE29-$R29)/12*COUNT($R$26:AC$26))</f>
        <v>15</v>
      </c>
      <c r="AE29" s="204">
        <v>16</v>
      </c>
      <c r="AF29" s="333">
        <f>INT($AE29+($AR29-$AE29)/12*COUNT($AE$26:AE$26))</f>
        <v>16</v>
      </c>
      <c r="AG29" s="333">
        <f>INT($AE29+($AR29-$AE29)/12*COUNT($AE$26:AF$26))</f>
        <v>16</v>
      </c>
      <c r="AH29" s="333">
        <f>INT($AE29+($AR29-$AE29)/12*COUNT($AE$26:AG$26))</f>
        <v>16</v>
      </c>
      <c r="AI29" s="333">
        <f>INT($AE29+($AR29-$AE29)/12*COUNT($AE$26:AH$26))</f>
        <v>16</v>
      </c>
      <c r="AJ29" s="333">
        <f>INT($AE29+($AR29-$AE29)/12*COUNT($AE$26:AI$26))</f>
        <v>16</v>
      </c>
      <c r="AK29" s="333">
        <f>INT($AE29+($AR29-$AE29)/12*COUNT($AE$26:AJ$26))</f>
        <v>16</v>
      </c>
      <c r="AL29" s="333">
        <f>INT($AE29+($AR29-$AE29)/12*COUNT($AE$26:AK$26))</f>
        <v>16</v>
      </c>
      <c r="AM29" s="333">
        <f>INT($AE29+($AR29-$AE29)/12*COUNT($AE$26:AL$26))</f>
        <v>16</v>
      </c>
      <c r="AN29" s="333">
        <f>INT($AE29+($AR29-$AE29)/12*COUNT($AE$26:AM$26))</f>
        <v>16</v>
      </c>
      <c r="AO29" s="333">
        <f>INT($AE29+($AR29-$AE29)/12*COUNT($AE$26:AN$26))</f>
        <v>16</v>
      </c>
      <c r="AP29" s="333">
        <f>INT($AE29+($AR29-$AE29)/12*COUNT($AE$26:AO$26))</f>
        <v>16</v>
      </c>
      <c r="AQ29" s="333">
        <f>INT($AE29+($AR29-$AE29)/12*COUNT($AE$26:AP$26))</f>
        <v>16</v>
      </c>
      <c r="AR29" s="204">
        <v>16</v>
      </c>
      <c r="AS29" s="214" t="str">
        <f t="shared" si="6"/>
        <v>Toddlers (24mo to 36 mo)</v>
      </c>
      <c r="AT29" s="215"/>
      <c r="AU29" s="215"/>
      <c r="AV29" s="216"/>
    </row>
    <row r="30" spans="1:48" ht="16.5" customHeight="1">
      <c r="A30" s="147" t="str">
        <f t="shared" si="4"/>
        <v>3's Classroom</v>
      </c>
      <c r="B30" s="271">
        <f t="shared" si="5"/>
        <v>8</v>
      </c>
      <c r="C30" s="148"/>
      <c r="D30" s="271"/>
      <c r="E30" s="148"/>
      <c r="F30" s="223">
        <v>12</v>
      </c>
      <c r="G30" s="333">
        <f>INT($F30+($R30-$F30)/12*COUNT($F29:F29))</f>
        <v>12</v>
      </c>
      <c r="H30" s="333">
        <f>INT($F30+($R30-$F30)/12*COUNT($F29:G29))</f>
        <v>12</v>
      </c>
      <c r="I30" s="333">
        <f>INT($F30+($R30-$F30)/12*COUNT($F29:H29))</f>
        <v>12</v>
      </c>
      <c r="J30" s="333">
        <f>INT($F30+($R30-$F30)/12*COUNT($F29:I29))</f>
        <v>12</v>
      </c>
      <c r="K30" s="333">
        <f>INT($F30+($R30-$F30)/12*COUNT($F29:J29))</f>
        <v>12</v>
      </c>
      <c r="L30" s="333">
        <f>INT($F30+($R30-$F30)/12*COUNT($F29:K29))</f>
        <v>13</v>
      </c>
      <c r="M30" s="333">
        <f>INT($F30+($R30-$F30)/12*COUNT($F29:L29))</f>
        <v>13</v>
      </c>
      <c r="N30" s="333">
        <f>INT($F30+($R30-$F30)/12*COUNT($F29:M29))</f>
        <v>13</v>
      </c>
      <c r="O30" s="333">
        <f>INT($F30+($R30-$F30)/12*COUNT($F29:N29))</f>
        <v>13</v>
      </c>
      <c r="P30" s="333">
        <f>INT($F30+($R30-$F30)/12*COUNT($F29:O29))</f>
        <v>13</v>
      </c>
      <c r="Q30" s="333">
        <f>INT($F30+($R30-$F30)/12*COUNT($F29:P29))</f>
        <v>13</v>
      </c>
      <c r="R30" s="204">
        <v>14</v>
      </c>
      <c r="S30" s="333">
        <f>INT($R30+($AE30-$R30)/12*COUNT($R$26:R$26))</f>
        <v>14</v>
      </c>
      <c r="T30" s="333">
        <f>INT($R30+($AE30-$R30)/12*COUNT($R$26:S$26))</f>
        <v>14</v>
      </c>
      <c r="U30" s="333">
        <f>INT($R30+($AE30-$R30)/12*COUNT($R$26:T$26))</f>
        <v>14</v>
      </c>
      <c r="V30" s="333">
        <f>INT($R30+($AE30-$R30)/12*COUNT($R$26:U$26))</f>
        <v>14</v>
      </c>
      <c r="W30" s="333">
        <f>INT($R30+($AE30-$R30)/12*COUNT($R$26:V$26))</f>
        <v>14</v>
      </c>
      <c r="X30" s="333">
        <f>INT($R30+($AE30-$R30)/12*COUNT($R$26:W$26))</f>
        <v>14</v>
      </c>
      <c r="Y30" s="333">
        <f>INT($R30+($AE30-$R30)/12*COUNT($R$26:X$26))</f>
        <v>15</v>
      </c>
      <c r="Z30" s="333">
        <f>INT($R30+($AE30-$R30)/12*COUNT($R$26:Y$26))</f>
        <v>15</v>
      </c>
      <c r="AA30" s="333">
        <f>INT($R30+($AE30-$R30)/12*COUNT($R$26:Z$26))</f>
        <v>15</v>
      </c>
      <c r="AB30" s="333">
        <f>INT($R30+($AE30-$R30)/12*COUNT($R$26:AA$26))</f>
        <v>15</v>
      </c>
      <c r="AC30" s="333">
        <f>INT($R30+($AE30-$R30)/12*COUNT($R$26:AB$26))</f>
        <v>15</v>
      </c>
      <c r="AD30" s="333">
        <f>INT($R30+($AE30-$R30)/12*COUNT($R$26:AC$26))</f>
        <v>15</v>
      </c>
      <c r="AE30" s="204">
        <v>16</v>
      </c>
      <c r="AF30" s="333">
        <f>INT($AE30+($AR30-$AE30)/12*COUNT($AE$26:AE$26))</f>
        <v>16</v>
      </c>
      <c r="AG30" s="333">
        <f>INT($AE30+($AR30-$AE30)/12*COUNT($AE$26:AF$26))</f>
        <v>16</v>
      </c>
      <c r="AH30" s="333">
        <f>INT($AE30+($AR30-$AE30)/12*COUNT($AE$26:AG$26))</f>
        <v>16</v>
      </c>
      <c r="AI30" s="333">
        <f>INT($AE30+($AR30-$AE30)/12*COUNT($AE$26:AH$26))</f>
        <v>16</v>
      </c>
      <c r="AJ30" s="333">
        <f>INT($AE30+($AR30-$AE30)/12*COUNT($AE$26:AI$26))</f>
        <v>16</v>
      </c>
      <c r="AK30" s="333">
        <f>INT($AE30+($AR30-$AE30)/12*COUNT($AE$26:AJ$26))</f>
        <v>16</v>
      </c>
      <c r="AL30" s="333">
        <f>INT($AE30+($AR30-$AE30)/12*COUNT($AE$26:AK$26))</f>
        <v>16</v>
      </c>
      <c r="AM30" s="333">
        <f>INT($AE30+($AR30-$AE30)/12*COUNT($AE$26:AL$26))</f>
        <v>16</v>
      </c>
      <c r="AN30" s="333">
        <f>INT($AE30+($AR30-$AE30)/12*COUNT($AE$26:AM$26))</f>
        <v>16</v>
      </c>
      <c r="AO30" s="333">
        <f>INT($AE30+($AR30-$AE30)/12*COUNT($AE$26:AN$26))</f>
        <v>16</v>
      </c>
      <c r="AP30" s="333">
        <f>INT($AE30+($AR30-$AE30)/12*COUNT($AE$26:AO$26))</f>
        <v>16</v>
      </c>
      <c r="AQ30" s="333">
        <f>INT($AE30+($AR30-$AE30)/12*COUNT($AE$26:AP$26))</f>
        <v>16</v>
      </c>
      <c r="AR30" s="204">
        <v>16</v>
      </c>
      <c r="AS30" s="214" t="str">
        <f t="shared" si="6"/>
        <v>3's Classroom</v>
      </c>
      <c r="AT30" s="215"/>
      <c r="AU30" s="215"/>
      <c r="AV30" s="216"/>
    </row>
    <row r="31" spans="1:48" ht="16.5" customHeight="1">
      <c r="A31" s="147" t="str">
        <f t="shared" si="4"/>
        <v>4's Clssroom</v>
      </c>
      <c r="B31" s="271">
        <f t="shared" si="5"/>
        <v>10</v>
      </c>
      <c r="C31" s="148"/>
      <c r="D31" s="271"/>
      <c r="E31" s="271"/>
      <c r="F31" s="223">
        <v>12</v>
      </c>
      <c r="G31" s="333">
        <f>INT($F31+($R31-$F31)/12*COUNT($F30:F30))</f>
        <v>12</v>
      </c>
      <c r="H31" s="333">
        <f>INT($F31+($R31-$F31)/12*COUNT($F30:G30))</f>
        <v>12</v>
      </c>
      <c r="I31" s="333">
        <f>INT($F31+($R31-$F31)/12*COUNT($F30:H30))</f>
        <v>12</v>
      </c>
      <c r="J31" s="333">
        <f>INT($F31+($R31-$F31)/12*COUNT($F30:I30))</f>
        <v>12</v>
      </c>
      <c r="K31" s="333">
        <f>INT($F31+($R31-$F31)/12*COUNT($F30:J30))</f>
        <v>12</v>
      </c>
      <c r="L31" s="333">
        <f>INT($F31+($R31-$F31)/12*COUNT($F30:K30))</f>
        <v>13</v>
      </c>
      <c r="M31" s="333">
        <f>INT($F31+($R31-$F31)/12*COUNT($F30:L30))</f>
        <v>13</v>
      </c>
      <c r="N31" s="333">
        <f>INT($F31+($R31-$F31)/12*COUNT($F30:M30))</f>
        <v>13</v>
      </c>
      <c r="O31" s="333">
        <f>INT($F31+($R31-$F31)/12*COUNT($F30:N30))</f>
        <v>13</v>
      </c>
      <c r="P31" s="333">
        <f>INT($F31+($R31-$F31)/12*COUNT($F30:O30))</f>
        <v>13</v>
      </c>
      <c r="Q31" s="333">
        <f>INT($F31+($R31-$F31)/12*COUNT($F30:P30))</f>
        <v>13</v>
      </c>
      <c r="R31" s="204">
        <v>14</v>
      </c>
      <c r="S31" s="333">
        <f>INT($R31+($AE31-$R31)/12*COUNT($R$26:R$26))</f>
        <v>14</v>
      </c>
      <c r="T31" s="333">
        <f>INT($R31+($AE31-$R31)/12*COUNT($R$26:S$26))</f>
        <v>14</v>
      </c>
      <c r="U31" s="333">
        <f>INT($R31+($AE31-$R31)/12*COUNT($R$26:T$26))</f>
        <v>14</v>
      </c>
      <c r="V31" s="333">
        <f>INT($R31+($AE31-$R31)/12*COUNT($R$26:U$26))</f>
        <v>14</v>
      </c>
      <c r="W31" s="333">
        <f>INT($R31+($AE31-$R31)/12*COUNT($R$26:V$26))</f>
        <v>14</v>
      </c>
      <c r="X31" s="333">
        <f>INT($R31+($AE31-$R31)/12*COUNT($R$26:W$26))</f>
        <v>14</v>
      </c>
      <c r="Y31" s="333">
        <f>INT($R31+($AE31-$R31)/12*COUNT($R$26:X$26))</f>
        <v>15</v>
      </c>
      <c r="Z31" s="333">
        <f>INT($R31+($AE31-$R31)/12*COUNT($R$26:Y$26))</f>
        <v>15</v>
      </c>
      <c r="AA31" s="333">
        <f>INT($R31+($AE31-$R31)/12*COUNT($R$26:Z$26))</f>
        <v>15</v>
      </c>
      <c r="AB31" s="333">
        <f>INT($R31+($AE31-$R31)/12*COUNT($R$26:AA$26))</f>
        <v>15</v>
      </c>
      <c r="AC31" s="333">
        <f>INT($R31+($AE31-$R31)/12*COUNT($R$26:AB$26))</f>
        <v>15</v>
      </c>
      <c r="AD31" s="333">
        <f>INT($R31+($AE31-$R31)/12*COUNT($R$26:AC$26))</f>
        <v>15</v>
      </c>
      <c r="AE31" s="204">
        <v>16</v>
      </c>
      <c r="AF31" s="333">
        <f>INT($AE31+($AR31-$AE31)/12*COUNT($AE$26:AE$26))</f>
        <v>16</v>
      </c>
      <c r="AG31" s="333">
        <f>INT($AE31+($AR31-$AE31)/12*COUNT($AE$26:AF$26))</f>
        <v>16</v>
      </c>
      <c r="AH31" s="333">
        <f>INT($AE31+($AR31-$AE31)/12*COUNT($AE$26:AG$26))</f>
        <v>16</v>
      </c>
      <c r="AI31" s="333">
        <f>INT($AE31+($AR31-$AE31)/12*COUNT($AE$26:AH$26))</f>
        <v>16</v>
      </c>
      <c r="AJ31" s="333">
        <f>INT($AE31+($AR31-$AE31)/12*COUNT($AE$26:AI$26))</f>
        <v>16</v>
      </c>
      <c r="AK31" s="333">
        <f>INT($AE31+($AR31-$AE31)/12*COUNT($AE$26:AJ$26))</f>
        <v>16</v>
      </c>
      <c r="AL31" s="333">
        <f>INT($AE31+($AR31-$AE31)/12*COUNT($AE$26:AK$26))</f>
        <v>16</v>
      </c>
      <c r="AM31" s="333">
        <f>INT($AE31+($AR31-$AE31)/12*COUNT($AE$26:AL$26))</f>
        <v>16</v>
      </c>
      <c r="AN31" s="333">
        <f>INT($AE31+($AR31-$AE31)/12*COUNT($AE$26:AM$26))</f>
        <v>16</v>
      </c>
      <c r="AO31" s="333">
        <f>INT($AE31+($AR31-$AE31)/12*COUNT($AE$26:AN$26))</f>
        <v>16</v>
      </c>
      <c r="AP31" s="333">
        <f>INT($AE31+($AR31-$AE31)/12*COUNT($AE$26:AO$26))</f>
        <v>16</v>
      </c>
      <c r="AQ31" s="333">
        <f>INT($AE31+($AR31-$AE31)/12*COUNT($AE$26:AP$26))</f>
        <v>16</v>
      </c>
      <c r="AR31" s="204">
        <v>16</v>
      </c>
      <c r="AS31" s="214" t="str">
        <f t="shared" si="6"/>
        <v>4's Clssroom</v>
      </c>
      <c r="AT31" s="215"/>
      <c r="AU31" s="215"/>
      <c r="AV31" s="216"/>
    </row>
    <row r="32" spans="1:48" ht="16.5" customHeight="1">
      <c r="A32" s="147" t="str">
        <f t="shared" si="4"/>
        <v>Before/After Care</v>
      </c>
      <c r="B32" s="271">
        <f t="shared" si="5"/>
        <v>17</v>
      </c>
      <c r="C32" s="148"/>
      <c r="D32" s="271"/>
      <c r="E32" s="148"/>
      <c r="F32" s="223">
        <v>12</v>
      </c>
      <c r="G32" s="333">
        <f>INT($F32+($R32-$F32)/12*COUNT($F31:F31))</f>
        <v>12</v>
      </c>
      <c r="H32" s="333">
        <f>INT($F32+($R32-$F32)/12*COUNT($F31:G31))</f>
        <v>12</v>
      </c>
      <c r="I32" s="333">
        <f>INT($F32+($R32-$F32)/12*COUNT($F31:H31))</f>
        <v>12</v>
      </c>
      <c r="J32" s="333">
        <f>INT($F32+($R32-$F32)/12*COUNT($F31:I31))</f>
        <v>12</v>
      </c>
      <c r="K32" s="333">
        <f>INT($F32+($R32-$F32)/12*COUNT($F31:J31))</f>
        <v>12</v>
      </c>
      <c r="L32" s="333">
        <f>INT($F32+($R32-$F32)/12*COUNT($F31:K31))</f>
        <v>13</v>
      </c>
      <c r="M32" s="333">
        <f>INT($F32+($R32-$F32)/12*COUNT($F31:L31))</f>
        <v>13</v>
      </c>
      <c r="N32" s="333">
        <f>INT($F32+($R32-$F32)/12*COUNT($F31:M31))</f>
        <v>13</v>
      </c>
      <c r="O32" s="333">
        <f>INT($F32+($R32-$F32)/12*COUNT($F31:N31))</f>
        <v>13</v>
      </c>
      <c r="P32" s="333">
        <f>INT($F32+($R32-$F32)/12*COUNT($F31:O31))</f>
        <v>13</v>
      </c>
      <c r="Q32" s="333">
        <f>INT($F32+($R32-$F32)/12*COUNT($F31:P31))</f>
        <v>13</v>
      </c>
      <c r="R32" s="204">
        <v>14</v>
      </c>
      <c r="S32" s="333">
        <f>INT($R32+($AE32-$R32)/12*COUNT($R$26:R$26))</f>
        <v>14</v>
      </c>
      <c r="T32" s="333">
        <f>INT($R32+($AE32-$R32)/12*COUNT($R$26:S$26))</f>
        <v>14</v>
      </c>
      <c r="U32" s="333">
        <f>INT($R32+($AE32-$R32)/12*COUNT($R$26:T$26))</f>
        <v>14</v>
      </c>
      <c r="V32" s="333">
        <f>INT($R32+($AE32-$R32)/12*COUNT($R$26:U$26))</f>
        <v>14</v>
      </c>
      <c r="W32" s="333">
        <f>INT($R32+($AE32-$R32)/12*COUNT($R$26:V$26))</f>
        <v>14</v>
      </c>
      <c r="X32" s="333">
        <f>INT($R32+($AE32-$R32)/12*COUNT($R$26:W$26))</f>
        <v>14</v>
      </c>
      <c r="Y32" s="333">
        <f>INT($R32+($AE32-$R32)/12*COUNT($R$26:X$26))</f>
        <v>15</v>
      </c>
      <c r="Z32" s="333">
        <f>INT($R32+($AE32-$R32)/12*COUNT($R$26:Y$26))</f>
        <v>15</v>
      </c>
      <c r="AA32" s="333">
        <f>INT($R32+($AE32-$R32)/12*COUNT($R$26:Z$26))</f>
        <v>15</v>
      </c>
      <c r="AB32" s="333">
        <f>INT($R32+($AE32-$R32)/12*COUNT($R$26:AA$26))</f>
        <v>15</v>
      </c>
      <c r="AC32" s="333">
        <f>INT($R32+($AE32-$R32)/12*COUNT($R$26:AB$26))</f>
        <v>15</v>
      </c>
      <c r="AD32" s="333">
        <f>INT($R32+($AE32-$R32)/12*COUNT($R$26:AC$26))</f>
        <v>15</v>
      </c>
      <c r="AE32" s="204">
        <v>16</v>
      </c>
      <c r="AF32" s="333">
        <f>INT($AE32+($AR32-$AE32)/12*COUNT($AE$26:AE$26))</f>
        <v>16</v>
      </c>
      <c r="AG32" s="333">
        <f>INT($AE32+($AR32-$AE32)/12*COUNT($AE$26:AF$26))</f>
        <v>16</v>
      </c>
      <c r="AH32" s="333">
        <f>INT($AE32+($AR32-$AE32)/12*COUNT($AE$26:AG$26))</f>
        <v>16</v>
      </c>
      <c r="AI32" s="333">
        <f>INT($AE32+($AR32-$AE32)/12*COUNT($AE$26:AH$26))</f>
        <v>16</v>
      </c>
      <c r="AJ32" s="333">
        <f>INT($AE32+($AR32-$AE32)/12*COUNT($AE$26:AI$26))</f>
        <v>16</v>
      </c>
      <c r="AK32" s="333">
        <f>INT($AE32+($AR32-$AE32)/12*COUNT($AE$26:AJ$26))</f>
        <v>16</v>
      </c>
      <c r="AL32" s="333">
        <f>INT($AE32+($AR32-$AE32)/12*COUNT($AE$26:AK$26))</f>
        <v>17</v>
      </c>
      <c r="AM32" s="333">
        <f>INT($AE32+($AR32-$AE32)/12*COUNT($AE$26:AL$26))</f>
        <v>17</v>
      </c>
      <c r="AN32" s="333">
        <f>INT($AE32+($AR32-$AE32)/12*COUNT($AE$26:AM$26))</f>
        <v>17</v>
      </c>
      <c r="AO32" s="333">
        <f>INT($AE32+($AR32-$AE32)/12*COUNT($AE$26:AN$26))</f>
        <v>17</v>
      </c>
      <c r="AP32" s="333">
        <f>INT($AE32+($AR32-$AE32)/12*COUNT($AE$26:AO$26))</f>
        <v>17</v>
      </c>
      <c r="AQ32" s="333">
        <f>INT($AE32+($AR32-$AE32)/12*COUNT($AE$26:AP$26))</f>
        <v>17</v>
      </c>
      <c r="AR32" s="204">
        <v>18</v>
      </c>
      <c r="AS32" s="214" t="str">
        <f t="shared" si="6"/>
        <v>Before/After Care</v>
      </c>
      <c r="AT32" s="215"/>
      <c r="AU32" s="215"/>
      <c r="AV32" s="216"/>
    </row>
    <row r="33" spans="1:48" ht="16.5" customHeight="1" thickBot="1">
      <c r="A33" s="147" t="str">
        <f t="shared" si="4"/>
        <v>Summer Camp</v>
      </c>
      <c r="B33" s="271">
        <f t="shared" si="5"/>
        <v>17</v>
      </c>
      <c r="C33" s="149"/>
      <c r="D33" s="149"/>
      <c r="E33" s="149"/>
      <c r="F33" s="224">
        <v>20</v>
      </c>
      <c r="G33" s="333">
        <f>INT($F33+($R33-$F33)/12*COUNT($F32:F32))</f>
        <v>20</v>
      </c>
      <c r="H33" s="333">
        <f>INT($F33+($R33-$F33)/12*COUNT($F32:G32))</f>
        <v>20</v>
      </c>
      <c r="I33" s="333">
        <f>INT($F33+($R33-$F33)/12*COUNT($F32:H32))</f>
        <v>21</v>
      </c>
      <c r="J33" s="333">
        <f>INT($F33+($R33-$F33)/12*COUNT($F32:I32))</f>
        <v>21</v>
      </c>
      <c r="K33" s="333">
        <v>15</v>
      </c>
      <c r="L33" s="333">
        <v>15</v>
      </c>
      <c r="M33" s="333">
        <f>INT($F33+($R33-$F33)/12*COUNT($F32:L32))</f>
        <v>22</v>
      </c>
      <c r="N33" s="333">
        <f>INT($F33+($R33-$F33)/12*COUNT($F32:M32))</f>
        <v>23</v>
      </c>
      <c r="O33" s="333">
        <f>INT($F33+($R33-$F33)/12*COUNT($F32:N32))</f>
        <v>23</v>
      </c>
      <c r="P33" s="333">
        <f>INT($F33+($R33-$F33)/12*COUNT($F32:O32))</f>
        <v>24</v>
      </c>
      <c r="Q33" s="333">
        <f>INT($F33+($R33-$F33)/12*COUNT($F32:P32))</f>
        <v>24</v>
      </c>
      <c r="R33" s="204">
        <v>25</v>
      </c>
      <c r="S33" s="333">
        <f>INT($R33+($AE33-$R33)/12*COUNT($R$26:R$26))</f>
        <v>25</v>
      </c>
      <c r="T33" s="333">
        <f>INT($R33+($AE33-$R33)/12*COUNT($R$26:S$26))</f>
        <v>25</v>
      </c>
      <c r="U33" s="333">
        <f>INT($R33+($AE33-$R33)/12*COUNT($R$26:T$26))</f>
        <v>25</v>
      </c>
      <c r="V33" s="333">
        <f>INT($R33+($AE33-$R33)/12*COUNT($R$26:U$26))</f>
        <v>26</v>
      </c>
      <c r="W33" s="333">
        <f>INT($R33+($AE33-$R33)/12*COUNT($R$26:V$26))</f>
        <v>26</v>
      </c>
      <c r="X33" s="333">
        <v>20</v>
      </c>
      <c r="Y33" s="333">
        <v>20</v>
      </c>
      <c r="Z33" s="333">
        <f>INT($R33+($AE33-$R33)/12*COUNT($R$26:Y$26))</f>
        <v>27</v>
      </c>
      <c r="AA33" s="333">
        <f>INT($R33+($AE33-$R33)/12*COUNT($R$26:Z$26))</f>
        <v>28</v>
      </c>
      <c r="AB33" s="333">
        <f>INT($R33+($AE33-$R33)/12*COUNT($R$26:AA$26))</f>
        <v>28</v>
      </c>
      <c r="AC33" s="333">
        <f>INT($R33+($AE33-$R33)/12*COUNT($R$26:AB$26))</f>
        <v>29</v>
      </c>
      <c r="AD33" s="333">
        <f>INT($R33+($AE33-$R33)/12*COUNT($R$26:AC$26))</f>
        <v>29</v>
      </c>
      <c r="AE33" s="204">
        <v>30</v>
      </c>
      <c r="AF33" s="333">
        <f>INT($AE33+($AR33-$AE33)/12*COUNT($AE$26:AE$26))</f>
        <v>30</v>
      </c>
      <c r="AG33" s="333">
        <f>INT($AE33+($AR33-$AE33)/12*COUNT($AE$26:AF$26))</f>
        <v>30</v>
      </c>
      <c r="AH33" s="333">
        <f>INT($AE33+($AR33-$AE33)/12*COUNT($AE$26:AG$26))</f>
        <v>30</v>
      </c>
      <c r="AI33" s="333">
        <f>INT($AE33+($AR33-$AE33)/12*COUNT($AE$26:AH$26))</f>
        <v>31</v>
      </c>
      <c r="AJ33" s="333">
        <f>INT($AE33+($AR33-$AE33)/12*COUNT($AE$26:AI$26))</f>
        <v>31</v>
      </c>
      <c r="AK33" s="333">
        <v>24</v>
      </c>
      <c r="AL33" s="333">
        <v>24</v>
      </c>
      <c r="AM33" s="333">
        <f>INT($AE33+($AR33-$AE33)/12*COUNT($AE$26:AL$26))</f>
        <v>32</v>
      </c>
      <c r="AN33" s="333">
        <f>INT($AE33+($AR33-$AE33)/12*COUNT($AE$26:AM$26))</f>
        <v>33</v>
      </c>
      <c r="AO33" s="333">
        <f>INT($AE33+($AR33-$AE33)/12*COUNT($AE$26:AN$26))</f>
        <v>33</v>
      </c>
      <c r="AP33" s="333">
        <f>INT($AE33+($AR33-$AE33)/12*COUNT($AE$26:AO$26))</f>
        <v>34</v>
      </c>
      <c r="AQ33" s="333">
        <f>INT($AE33+($AR33-$AE33)/12*COUNT($AE$26:AP$26))</f>
        <v>34</v>
      </c>
      <c r="AR33" s="204">
        <v>35</v>
      </c>
      <c r="AS33" s="217" t="str">
        <f t="shared" si="6"/>
        <v>Summer Camp</v>
      </c>
      <c r="AT33" s="218"/>
      <c r="AU33" s="218"/>
      <c r="AV33" s="219"/>
    </row>
    <row r="34" spans="4:44" ht="16.5" customHeight="1" thickTop="1">
      <c r="D34" s="77" t="s">
        <v>34</v>
      </c>
      <c r="E34" s="77"/>
      <c r="F34" s="205">
        <f>SUM(F27:F33)</f>
        <v>64</v>
      </c>
      <c r="G34" s="248">
        <f>ROUND(SUM(G27:G33),0)</f>
        <v>64</v>
      </c>
      <c r="H34" s="249">
        <f aca="true" t="shared" si="7" ref="H34:Q34">ROUND(SUM(H27:H33),0)</f>
        <v>64</v>
      </c>
      <c r="I34" s="249">
        <f t="shared" si="7"/>
        <v>66</v>
      </c>
      <c r="J34" s="249">
        <f t="shared" si="7"/>
        <v>66</v>
      </c>
      <c r="K34" s="249">
        <f t="shared" si="7"/>
        <v>60</v>
      </c>
      <c r="L34" s="249">
        <f t="shared" si="7"/>
        <v>64</v>
      </c>
      <c r="M34" s="249">
        <f t="shared" si="7"/>
        <v>71</v>
      </c>
      <c r="N34" s="249">
        <f t="shared" si="7"/>
        <v>72</v>
      </c>
      <c r="O34" s="249">
        <f t="shared" si="7"/>
        <v>73</v>
      </c>
      <c r="P34" s="249">
        <f t="shared" si="7"/>
        <v>74</v>
      </c>
      <c r="Q34" s="250">
        <f t="shared" si="7"/>
        <v>74</v>
      </c>
      <c r="R34" s="251">
        <f>SUM(R27:R33)</f>
        <v>79</v>
      </c>
      <c r="S34" s="207">
        <f aca="true" t="shared" si="8" ref="S34:AD34">SUM(S27:S33)</f>
        <v>79</v>
      </c>
      <c r="T34" s="208">
        <f t="shared" si="8"/>
        <v>79</v>
      </c>
      <c r="U34" s="208">
        <f t="shared" si="8"/>
        <v>79</v>
      </c>
      <c r="V34" s="208">
        <f t="shared" si="8"/>
        <v>81</v>
      </c>
      <c r="W34" s="208">
        <f t="shared" si="8"/>
        <v>81</v>
      </c>
      <c r="X34" s="208">
        <f t="shared" si="8"/>
        <v>75</v>
      </c>
      <c r="Y34" s="208">
        <f t="shared" si="8"/>
        <v>79</v>
      </c>
      <c r="Z34" s="208">
        <f t="shared" si="8"/>
        <v>86</v>
      </c>
      <c r="AA34" s="208">
        <f t="shared" si="8"/>
        <v>87</v>
      </c>
      <c r="AB34" s="208">
        <f t="shared" si="8"/>
        <v>88</v>
      </c>
      <c r="AC34" s="208">
        <f t="shared" si="8"/>
        <v>89</v>
      </c>
      <c r="AD34" s="208">
        <f t="shared" si="8"/>
        <v>89</v>
      </c>
      <c r="AE34" s="206">
        <f aca="true" t="shared" si="9" ref="AE34:AR34">SUM(AE27:AE33)</f>
        <v>94</v>
      </c>
      <c r="AF34" s="207">
        <f t="shared" si="9"/>
        <v>94</v>
      </c>
      <c r="AG34" s="208">
        <f t="shared" si="9"/>
        <v>94</v>
      </c>
      <c r="AH34" s="208">
        <f t="shared" si="9"/>
        <v>94</v>
      </c>
      <c r="AI34" s="208">
        <f t="shared" si="9"/>
        <v>95</v>
      </c>
      <c r="AJ34" s="208">
        <f t="shared" si="9"/>
        <v>95</v>
      </c>
      <c r="AK34" s="208">
        <f t="shared" si="9"/>
        <v>88</v>
      </c>
      <c r="AL34" s="208">
        <f t="shared" si="9"/>
        <v>89</v>
      </c>
      <c r="AM34" s="208">
        <f t="shared" si="9"/>
        <v>97</v>
      </c>
      <c r="AN34" s="208">
        <f t="shared" si="9"/>
        <v>98</v>
      </c>
      <c r="AO34" s="208">
        <f t="shared" si="9"/>
        <v>98</v>
      </c>
      <c r="AP34" s="208">
        <f t="shared" si="9"/>
        <v>99</v>
      </c>
      <c r="AQ34" s="208">
        <f t="shared" si="9"/>
        <v>99</v>
      </c>
      <c r="AR34" s="206">
        <f t="shared" si="9"/>
        <v>101</v>
      </c>
    </row>
    <row r="35" spans="19:33" ht="16.5" customHeight="1">
      <c r="S35" s="189"/>
      <c r="T35" s="189"/>
      <c r="AF35" s="189"/>
      <c r="AG35" s="189"/>
    </row>
    <row r="36" spans="1:44" ht="19.5" customHeight="1">
      <c r="A36" s="243" t="s">
        <v>137</v>
      </c>
      <c r="B36" s="243"/>
      <c r="C36" s="243"/>
      <c r="D36" s="243"/>
      <c r="E36" s="243"/>
      <c r="F36" s="243"/>
      <c r="G36" s="245">
        <v>1</v>
      </c>
      <c r="H36" s="242" t="s">
        <v>139</v>
      </c>
      <c r="I36" s="68"/>
      <c r="J36" s="68"/>
      <c r="O36" s="243" t="s">
        <v>149</v>
      </c>
      <c r="P36" s="85"/>
      <c r="Q36" s="85"/>
      <c r="R36" s="85"/>
      <c r="S36" s="85"/>
      <c r="T36" s="85"/>
      <c r="U36" s="85"/>
      <c r="V36" s="85"/>
      <c r="AE36" s="86" t="s">
        <v>311</v>
      </c>
      <c r="AR36" s="87" t="s">
        <v>304</v>
      </c>
    </row>
    <row r="37" spans="1:48" ht="16.5" customHeight="1">
      <c r="A37" s="147" t="str">
        <f aca="true" t="shared" si="10" ref="A37:A43">S11</f>
        <v>Infants (6 wks - 12 months)</v>
      </c>
      <c r="B37" s="271">
        <f aca="true" t="shared" si="11" ref="B37:B43">L9</f>
        <v>4</v>
      </c>
      <c r="C37" s="148"/>
      <c r="D37" s="271"/>
      <c r="E37" s="148"/>
      <c r="F37" s="610">
        <f>ROUNDUP(F27*$G$36,0)</f>
        <v>0</v>
      </c>
      <c r="G37" s="11">
        <f>ROUNDUP(G27*$G$36,0)</f>
        <v>0</v>
      </c>
      <c r="H37" s="11">
        <f>ROUNDUP(H27*$G$36,0)</f>
        <v>0</v>
      </c>
      <c r="I37" s="11">
        <f aca="true" t="shared" si="12" ref="I37:Q37">ROUNDUP(I27*$G$36,0)</f>
        <v>0</v>
      </c>
      <c r="J37" s="11">
        <f t="shared" si="12"/>
        <v>0</v>
      </c>
      <c r="K37" s="11">
        <f t="shared" si="12"/>
        <v>0</v>
      </c>
      <c r="L37" s="11">
        <f t="shared" si="12"/>
        <v>0</v>
      </c>
      <c r="M37" s="11">
        <f t="shared" si="12"/>
        <v>0</v>
      </c>
      <c r="N37" s="11">
        <f t="shared" si="12"/>
        <v>0</v>
      </c>
      <c r="O37" s="11">
        <f t="shared" si="12"/>
        <v>0</v>
      </c>
      <c r="P37" s="11">
        <f t="shared" si="12"/>
        <v>0</v>
      </c>
      <c r="Q37" s="11">
        <f t="shared" si="12"/>
        <v>0</v>
      </c>
      <c r="R37" s="99"/>
      <c r="S37" s="11">
        <f aca="true" t="shared" si="13" ref="S37:AD37">ROUNDUP(S27*$G$36,0)</f>
        <v>0</v>
      </c>
      <c r="T37" s="11">
        <f t="shared" si="13"/>
        <v>0</v>
      </c>
      <c r="U37" s="11">
        <f t="shared" si="13"/>
        <v>0</v>
      </c>
      <c r="V37" s="11">
        <f t="shared" si="13"/>
        <v>0</v>
      </c>
      <c r="W37" s="11">
        <f t="shared" si="13"/>
        <v>0</v>
      </c>
      <c r="X37" s="11">
        <f t="shared" si="13"/>
        <v>0</v>
      </c>
      <c r="Y37" s="11">
        <f t="shared" si="13"/>
        <v>0</v>
      </c>
      <c r="Z37" s="11">
        <f t="shared" si="13"/>
        <v>0</v>
      </c>
      <c r="AA37" s="11">
        <f t="shared" si="13"/>
        <v>0</v>
      </c>
      <c r="AB37" s="11">
        <f t="shared" si="13"/>
        <v>0</v>
      </c>
      <c r="AC37" s="11">
        <f t="shared" si="13"/>
        <v>0</v>
      </c>
      <c r="AD37" s="11">
        <f t="shared" si="13"/>
        <v>0</v>
      </c>
      <c r="AE37" s="99">
        <f aca="true" t="shared" si="14" ref="AE37:AE43">B27</f>
        <v>4</v>
      </c>
      <c r="AF37" s="11">
        <f aca="true" t="shared" si="15" ref="AF37:AQ37">ROUNDUP(AF27*$G$36,0)</f>
        <v>0</v>
      </c>
      <c r="AG37" s="11">
        <f t="shared" si="15"/>
        <v>0</v>
      </c>
      <c r="AH37" s="11">
        <f t="shared" si="15"/>
        <v>0</v>
      </c>
      <c r="AI37" s="11">
        <f t="shared" si="15"/>
        <v>0</v>
      </c>
      <c r="AJ37" s="11">
        <f t="shared" si="15"/>
        <v>0</v>
      </c>
      <c r="AK37" s="11">
        <f t="shared" si="15"/>
        <v>0</v>
      </c>
      <c r="AL37" s="11">
        <f t="shared" si="15"/>
        <v>0</v>
      </c>
      <c r="AM37" s="11">
        <f t="shared" si="15"/>
        <v>0</v>
      </c>
      <c r="AN37" s="11">
        <f t="shared" si="15"/>
        <v>0</v>
      </c>
      <c r="AO37" s="11">
        <f t="shared" si="15"/>
        <v>0</v>
      </c>
      <c r="AP37" s="11">
        <f t="shared" si="15"/>
        <v>0</v>
      </c>
      <c r="AQ37" s="11">
        <f t="shared" si="15"/>
        <v>0</v>
      </c>
      <c r="AR37" s="576">
        <v>12</v>
      </c>
      <c r="AS37" s="211" t="str">
        <f aca="true" t="shared" si="16" ref="AS37:AS43">AS27</f>
        <v>Infants (6 wks - 12 months)</v>
      </c>
      <c r="AU37" s="69">
        <v>1</v>
      </c>
      <c r="AV37" s="69">
        <v>2</v>
      </c>
    </row>
    <row r="38" spans="1:48" ht="16.5" customHeight="1">
      <c r="A38" s="147" t="str">
        <f t="shared" si="10"/>
        <v>Toddlers (12mo-24mo)</v>
      </c>
      <c r="B38" s="271">
        <f t="shared" si="11"/>
        <v>4</v>
      </c>
      <c r="C38" s="148"/>
      <c r="D38" s="271"/>
      <c r="E38" s="148"/>
      <c r="F38" s="610">
        <f aca="true" t="shared" si="17" ref="F38:Q43">ROUNDUP(F28*$G$36,0)</f>
        <v>0</v>
      </c>
      <c r="G38" s="11">
        <f t="shared" si="17"/>
        <v>0</v>
      </c>
      <c r="H38" s="11">
        <f t="shared" si="17"/>
        <v>0</v>
      </c>
      <c r="I38" s="11">
        <f t="shared" si="17"/>
        <v>0</v>
      </c>
      <c r="J38" s="11">
        <f t="shared" si="17"/>
        <v>0</v>
      </c>
      <c r="K38" s="11">
        <f t="shared" si="17"/>
        <v>0</v>
      </c>
      <c r="L38" s="11">
        <f t="shared" si="17"/>
        <v>0</v>
      </c>
      <c r="M38" s="11">
        <f t="shared" si="17"/>
        <v>0</v>
      </c>
      <c r="N38" s="11">
        <f t="shared" si="17"/>
        <v>0</v>
      </c>
      <c r="O38" s="11">
        <f t="shared" si="17"/>
        <v>0</v>
      </c>
      <c r="P38" s="11">
        <f t="shared" si="17"/>
        <v>0</v>
      </c>
      <c r="Q38" s="11">
        <f t="shared" si="17"/>
        <v>0</v>
      </c>
      <c r="R38" s="99"/>
      <c r="S38" s="11">
        <f aca="true" t="shared" si="18" ref="S38:AD38">ROUNDUP(S28*$G$36,0)</f>
        <v>0</v>
      </c>
      <c r="T38" s="11">
        <f t="shared" si="18"/>
        <v>0</v>
      </c>
      <c r="U38" s="11">
        <f t="shared" si="18"/>
        <v>0</v>
      </c>
      <c r="V38" s="11">
        <f t="shared" si="18"/>
        <v>0</v>
      </c>
      <c r="W38" s="11">
        <f t="shared" si="18"/>
        <v>0</v>
      </c>
      <c r="X38" s="11">
        <f t="shared" si="18"/>
        <v>0</v>
      </c>
      <c r="Y38" s="11">
        <f t="shared" si="18"/>
        <v>0</v>
      </c>
      <c r="Z38" s="11">
        <f t="shared" si="18"/>
        <v>0</v>
      </c>
      <c r="AA38" s="11">
        <f t="shared" si="18"/>
        <v>0</v>
      </c>
      <c r="AB38" s="11">
        <f t="shared" si="18"/>
        <v>0</v>
      </c>
      <c r="AC38" s="11">
        <f t="shared" si="18"/>
        <v>0</v>
      </c>
      <c r="AD38" s="11">
        <f t="shared" si="18"/>
        <v>0</v>
      </c>
      <c r="AE38" s="99">
        <f t="shared" si="14"/>
        <v>4</v>
      </c>
      <c r="AF38" s="11">
        <f aca="true" t="shared" si="19" ref="AF38:AQ38">ROUNDUP(AF28*$G$36,0)</f>
        <v>0</v>
      </c>
      <c r="AG38" s="11">
        <f t="shared" si="19"/>
        <v>0</v>
      </c>
      <c r="AH38" s="11">
        <f t="shared" si="19"/>
        <v>0</v>
      </c>
      <c r="AI38" s="11">
        <f t="shared" si="19"/>
        <v>0</v>
      </c>
      <c r="AJ38" s="11">
        <f t="shared" si="19"/>
        <v>0</v>
      </c>
      <c r="AK38" s="11">
        <f t="shared" si="19"/>
        <v>0</v>
      </c>
      <c r="AL38" s="11">
        <f t="shared" si="19"/>
        <v>0</v>
      </c>
      <c r="AM38" s="11">
        <f t="shared" si="19"/>
        <v>0</v>
      </c>
      <c r="AN38" s="11">
        <f t="shared" si="19"/>
        <v>0</v>
      </c>
      <c r="AO38" s="11">
        <f t="shared" si="19"/>
        <v>0</v>
      </c>
      <c r="AP38" s="11">
        <f t="shared" si="19"/>
        <v>0</v>
      </c>
      <c r="AQ38" s="11">
        <f t="shared" si="19"/>
        <v>0</v>
      </c>
      <c r="AR38" s="576">
        <v>12</v>
      </c>
      <c r="AS38" s="214" t="str">
        <f t="shared" si="16"/>
        <v>Toddlers (12mo-24mo)</v>
      </c>
      <c r="AU38" s="69">
        <v>1</v>
      </c>
      <c r="AV38" s="69">
        <v>2</v>
      </c>
    </row>
    <row r="39" spans="1:48" ht="16.5" customHeight="1">
      <c r="A39" s="147" t="str">
        <f t="shared" si="10"/>
        <v>Toddlers (24mo to 36 mo)</v>
      </c>
      <c r="B39" s="271">
        <f t="shared" si="11"/>
        <v>6</v>
      </c>
      <c r="C39" s="148"/>
      <c r="D39" s="271"/>
      <c r="E39" s="148"/>
      <c r="F39" s="610">
        <f t="shared" si="17"/>
        <v>8</v>
      </c>
      <c r="G39" s="11">
        <f t="shared" si="17"/>
        <v>8</v>
      </c>
      <c r="H39" s="11">
        <f t="shared" si="17"/>
        <v>8</v>
      </c>
      <c r="I39" s="11">
        <f t="shared" si="17"/>
        <v>9</v>
      </c>
      <c r="J39" s="11">
        <f t="shared" si="17"/>
        <v>9</v>
      </c>
      <c r="K39" s="11">
        <f t="shared" si="17"/>
        <v>9</v>
      </c>
      <c r="L39" s="11">
        <f t="shared" si="17"/>
        <v>10</v>
      </c>
      <c r="M39" s="11">
        <f t="shared" si="17"/>
        <v>10</v>
      </c>
      <c r="N39" s="11">
        <f t="shared" si="17"/>
        <v>10</v>
      </c>
      <c r="O39" s="11">
        <f t="shared" si="17"/>
        <v>11</v>
      </c>
      <c r="P39" s="11">
        <f t="shared" si="17"/>
        <v>11</v>
      </c>
      <c r="Q39" s="11">
        <f t="shared" si="17"/>
        <v>11</v>
      </c>
      <c r="R39" s="99"/>
      <c r="S39" s="11">
        <f aca="true" t="shared" si="20" ref="S39:AD39">ROUNDUP(S29*$G$36,0)</f>
        <v>12</v>
      </c>
      <c r="T39" s="11">
        <f t="shared" si="20"/>
        <v>12</v>
      </c>
      <c r="U39" s="11">
        <f t="shared" si="20"/>
        <v>12</v>
      </c>
      <c r="V39" s="11">
        <f t="shared" si="20"/>
        <v>13</v>
      </c>
      <c r="W39" s="11">
        <f t="shared" si="20"/>
        <v>13</v>
      </c>
      <c r="X39" s="11">
        <f t="shared" si="20"/>
        <v>13</v>
      </c>
      <c r="Y39" s="11">
        <f t="shared" si="20"/>
        <v>14</v>
      </c>
      <c r="Z39" s="11">
        <f t="shared" si="20"/>
        <v>14</v>
      </c>
      <c r="AA39" s="11">
        <f t="shared" si="20"/>
        <v>14</v>
      </c>
      <c r="AB39" s="11">
        <f t="shared" si="20"/>
        <v>15</v>
      </c>
      <c r="AC39" s="11">
        <f t="shared" si="20"/>
        <v>15</v>
      </c>
      <c r="AD39" s="11">
        <f t="shared" si="20"/>
        <v>15</v>
      </c>
      <c r="AE39" s="99">
        <f t="shared" si="14"/>
        <v>6</v>
      </c>
      <c r="AF39" s="11">
        <f aca="true" t="shared" si="21" ref="AF39:AQ39">ROUNDUP(AF29*$G$36,0)</f>
        <v>16</v>
      </c>
      <c r="AG39" s="11">
        <f t="shared" si="21"/>
        <v>16</v>
      </c>
      <c r="AH39" s="11">
        <f t="shared" si="21"/>
        <v>16</v>
      </c>
      <c r="AI39" s="11">
        <f t="shared" si="21"/>
        <v>16</v>
      </c>
      <c r="AJ39" s="11">
        <f t="shared" si="21"/>
        <v>16</v>
      </c>
      <c r="AK39" s="11">
        <f t="shared" si="21"/>
        <v>16</v>
      </c>
      <c r="AL39" s="11">
        <f t="shared" si="21"/>
        <v>16</v>
      </c>
      <c r="AM39" s="11">
        <f t="shared" si="21"/>
        <v>16</v>
      </c>
      <c r="AN39" s="11">
        <f t="shared" si="21"/>
        <v>16</v>
      </c>
      <c r="AO39" s="11">
        <f t="shared" si="21"/>
        <v>16</v>
      </c>
      <c r="AP39" s="11">
        <f t="shared" si="21"/>
        <v>16</v>
      </c>
      <c r="AQ39" s="11">
        <f t="shared" si="21"/>
        <v>16</v>
      </c>
      <c r="AR39" s="576">
        <v>20</v>
      </c>
      <c r="AS39" s="214" t="str">
        <f t="shared" si="16"/>
        <v>Toddlers (24mo to 36 mo)</v>
      </c>
      <c r="AU39" s="69">
        <v>2</v>
      </c>
      <c r="AV39" s="69">
        <v>2</v>
      </c>
    </row>
    <row r="40" spans="1:48" ht="16.5" customHeight="1">
      <c r="A40" s="147" t="str">
        <f t="shared" si="10"/>
        <v>3's Classroom</v>
      </c>
      <c r="B40" s="271">
        <f t="shared" si="11"/>
        <v>8</v>
      </c>
      <c r="C40" s="148"/>
      <c r="D40" s="271"/>
      <c r="E40" s="148"/>
      <c r="F40" s="610">
        <f t="shared" si="17"/>
        <v>12</v>
      </c>
      <c r="G40" s="11">
        <f t="shared" si="17"/>
        <v>12</v>
      </c>
      <c r="H40" s="11">
        <f t="shared" si="17"/>
        <v>12</v>
      </c>
      <c r="I40" s="11">
        <f t="shared" si="17"/>
        <v>12</v>
      </c>
      <c r="J40" s="11">
        <f t="shared" si="17"/>
        <v>12</v>
      </c>
      <c r="K40" s="11">
        <f t="shared" si="17"/>
        <v>12</v>
      </c>
      <c r="L40" s="11">
        <f t="shared" si="17"/>
        <v>13</v>
      </c>
      <c r="M40" s="11">
        <f t="shared" si="17"/>
        <v>13</v>
      </c>
      <c r="N40" s="11">
        <f t="shared" si="17"/>
        <v>13</v>
      </c>
      <c r="O40" s="11">
        <f t="shared" si="17"/>
        <v>13</v>
      </c>
      <c r="P40" s="11">
        <f t="shared" si="17"/>
        <v>13</v>
      </c>
      <c r="Q40" s="11">
        <f t="shared" si="17"/>
        <v>13</v>
      </c>
      <c r="R40" s="99"/>
      <c r="S40" s="11">
        <f aca="true" t="shared" si="22" ref="S40:AD40">ROUNDUP(S30*$G$36,0)</f>
        <v>14</v>
      </c>
      <c r="T40" s="11">
        <f t="shared" si="22"/>
        <v>14</v>
      </c>
      <c r="U40" s="11">
        <f t="shared" si="22"/>
        <v>14</v>
      </c>
      <c r="V40" s="11">
        <f t="shared" si="22"/>
        <v>14</v>
      </c>
      <c r="W40" s="11">
        <f t="shared" si="22"/>
        <v>14</v>
      </c>
      <c r="X40" s="11">
        <f t="shared" si="22"/>
        <v>14</v>
      </c>
      <c r="Y40" s="11">
        <f t="shared" si="22"/>
        <v>15</v>
      </c>
      <c r="Z40" s="11">
        <f t="shared" si="22"/>
        <v>15</v>
      </c>
      <c r="AA40" s="11">
        <f t="shared" si="22"/>
        <v>15</v>
      </c>
      <c r="AB40" s="11">
        <f t="shared" si="22"/>
        <v>15</v>
      </c>
      <c r="AC40" s="11">
        <f t="shared" si="22"/>
        <v>15</v>
      </c>
      <c r="AD40" s="11">
        <f t="shared" si="22"/>
        <v>15</v>
      </c>
      <c r="AE40" s="99">
        <f t="shared" si="14"/>
        <v>8</v>
      </c>
      <c r="AF40" s="11">
        <f aca="true" t="shared" si="23" ref="AF40:AQ40">ROUNDUP(AF30*$G$36,0)</f>
        <v>16</v>
      </c>
      <c r="AG40" s="11">
        <f t="shared" si="23"/>
        <v>16</v>
      </c>
      <c r="AH40" s="11">
        <f t="shared" si="23"/>
        <v>16</v>
      </c>
      <c r="AI40" s="11">
        <f t="shared" si="23"/>
        <v>16</v>
      </c>
      <c r="AJ40" s="11">
        <f t="shared" si="23"/>
        <v>16</v>
      </c>
      <c r="AK40" s="11">
        <f t="shared" si="23"/>
        <v>16</v>
      </c>
      <c r="AL40" s="11">
        <f t="shared" si="23"/>
        <v>16</v>
      </c>
      <c r="AM40" s="11">
        <f t="shared" si="23"/>
        <v>16</v>
      </c>
      <c r="AN40" s="11">
        <f t="shared" si="23"/>
        <v>16</v>
      </c>
      <c r="AO40" s="11">
        <f t="shared" si="23"/>
        <v>16</v>
      </c>
      <c r="AP40" s="11">
        <f t="shared" si="23"/>
        <v>16</v>
      </c>
      <c r="AQ40" s="11">
        <f t="shared" si="23"/>
        <v>16</v>
      </c>
      <c r="AR40" s="576">
        <v>24</v>
      </c>
      <c r="AS40" s="214" t="str">
        <f t="shared" si="16"/>
        <v>3's Classroom</v>
      </c>
      <c r="AU40" s="69">
        <v>2</v>
      </c>
      <c r="AV40" s="69">
        <v>2</v>
      </c>
    </row>
    <row r="41" spans="1:48" ht="16.5" customHeight="1">
      <c r="A41" s="147" t="str">
        <f t="shared" si="10"/>
        <v>4's Clssroom</v>
      </c>
      <c r="B41" s="271">
        <f t="shared" si="11"/>
        <v>10</v>
      </c>
      <c r="C41" s="148"/>
      <c r="D41" s="271"/>
      <c r="E41" s="148"/>
      <c r="F41" s="610">
        <f t="shared" si="17"/>
        <v>12</v>
      </c>
      <c r="G41" s="11">
        <f t="shared" si="17"/>
        <v>12</v>
      </c>
      <c r="H41" s="11">
        <f t="shared" si="17"/>
        <v>12</v>
      </c>
      <c r="I41" s="11">
        <f t="shared" si="17"/>
        <v>12</v>
      </c>
      <c r="J41" s="11">
        <f t="shared" si="17"/>
        <v>12</v>
      </c>
      <c r="K41" s="11">
        <f t="shared" si="17"/>
        <v>12</v>
      </c>
      <c r="L41" s="11">
        <f t="shared" si="17"/>
        <v>13</v>
      </c>
      <c r="M41" s="11">
        <f t="shared" si="17"/>
        <v>13</v>
      </c>
      <c r="N41" s="11">
        <f t="shared" si="17"/>
        <v>13</v>
      </c>
      <c r="O41" s="11">
        <f t="shared" si="17"/>
        <v>13</v>
      </c>
      <c r="P41" s="11">
        <f t="shared" si="17"/>
        <v>13</v>
      </c>
      <c r="Q41" s="11">
        <f t="shared" si="17"/>
        <v>13</v>
      </c>
      <c r="R41" s="99"/>
      <c r="S41" s="11">
        <f aca="true" t="shared" si="24" ref="S41:AD41">ROUNDUP(S31*$G$36,0)</f>
        <v>14</v>
      </c>
      <c r="T41" s="11">
        <f t="shared" si="24"/>
        <v>14</v>
      </c>
      <c r="U41" s="11">
        <f t="shared" si="24"/>
        <v>14</v>
      </c>
      <c r="V41" s="11">
        <f t="shared" si="24"/>
        <v>14</v>
      </c>
      <c r="W41" s="11">
        <f t="shared" si="24"/>
        <v>14</v>
      </c>
      <c r="X41" s="11">
        <f t="shared" si="24"/>
        <v>14</v>
      </c>
      <c r="Y41" s="11">
        <f t="shared" si="24"/>
        <v>15</v>
      </c>
      <c r="Z41" s="11">
        <f t="shared" si="24"/>
        <v>15</v>
      </c>
      <c r="AA41" s="11">
        <f t="shared" si="24"/>
        <v>15</v>
      </c>
      <c r="AB41" s="11">
        <f t="shared" si="24"/>
        <v>15</v>
      </c>
      <c r="AC41" s="11">
        <f t="shared" si="24"/>
        <v>15</v>
      </c>
      <c r="AD41" s="11">
        <f t="shared" si="24"/>
        <v>15</v>
      </c>
      <c r="AE41" s="99">
        <f t="shared" si="14"/>
        <v>10</v>
      </c>
      <c r="AF41" s="11">
        <f aca="true" t="shared" si="25" ref="AF41:AQ41">ROUNDUP(AF31*$G$36,0)</f>
        <v>16</v>
      </c>
      <c r="AG41" s="11">
        <f t="shared" si="25"/>
        <v>16</v>
      </c>
      <c r="AH41" s="11">
        <f t="shared" si="25"/>
        <v>16</v>
      </c>
      <c r="AI41" s="11">
        <f t="shared" si="25"/>
        <v>16</v>
      </c>
      <c r="AJ41" s="11">
        <f t="shared" si="25"/>
        <v>16</v>
      </c>
      <c r="AK41" s="11">
        <f t="shared" si="25"/>
        <v>16</v>
      </c>
      <c r="AL41" s="11">
        <f t="shared" si="25"/>
        <v>16</v>
      </c>
      <c r="AM41" s="11">
        <f t="shared" si="25"/>
        <v>16</v>
      </c>
      <c r="AN41" s="11">
        <f t="shared" si="25"/>
        <v>16</v>
      </c>
      <c r="AO41" s="11">
        <f t="shared" si="25"/>
        <v>16</v>
      </c>
      <c r="AP41" s="11">
        <f t="shared" si="25"/>
        <v>16</v>
      </c>
      <c r="AQ41" s="11">
        <f t="shared" si="25"/>
        <v>16</v>
      </c>
      <c r="AR41" s="576">
        <v>28</v>
      </c>
      <c r="AS41" s="214" t="str">
        <f t="shared" si="16"/>
        <v>4's Clssroom</v>
      </c>
      <c r="AU41" s="69">
        <v>2</v>
      </c>
      <c r="AV41" s="69">
        <v>0</v>
      </c>
    </row>
    <row r="42" spans="1:45" ht="16.5" customHeight="1">
      <c r="A42" s="147" t="str">
        <f t="shared" si="10"/>
        <v>Before/After Care</v>
      </c>
      <c r="B42" s="271">
        <f t="shared" si="11"/>
        <v>17</v>
      </c>
      <c r="C42" s="148"/>
      <c r="D42" s="271"/>
      <c r="E42" s="148"/>
      <c r="F42" s="610">
        <f t="shared" si="17"/>
        <v>12</v>
      </c>
      <c r="G42" s="11">
        <f t="shared" si="17"/>
        <v>12</v>
      </c>
      <c r="H42" s="11">
        <f t="shared" si="17"/>
        <v>12</v>
      </c>
      <c r="I42" s="11">
        <f t="shared" si="17"/>
        <v>12</v>
      </c>
      <c r="J42" s="11">
        <f t="shared" si="17"/>
        <v>12</v>
      </c>
      <c r="K42" s="11">
        <f t="shared" si="17"/>
        <v>12</v>
      </c>
      <c r="L42" s="11">
        <f t="shared" si="17"/>
        <v>13</v>
      </c>
      <c r="M42" s="11">
        <f t="shared" si="17"/>
        <v>13</v>
      </c>
      <c r="N42" s="11">
        <f t="shared" si="17"/>
        <v>13</v>
      </c>
      <c r="O42" s="11">
        <f t="shared" si="17"/>
        <v>13</v>
      </c>
      <c r="P42" s="11">
        <f t="shared" si="17"/>
        <v>13</v>
      </c>
      <c r="Q42" s="11">
        <f t="shared" si="17"/>
        <v>13</v>
      </c>
      <c r="R42" s="99"/>
      <c r="S42" s="11">
        <f aca="true" t="shared" si="26" ref="S42:AD42">ROUNDUP(S32*$G$36,0)</f>
        <v>14</v>
      </c>
      <c r="T42" s="11">
        <f t="shared" si="26"/>
        <v>14</v>
      </c>
      <c r="U42" s="11">
        <f t="shared" si="26"/>
        <v>14</v>
      </c>
      <c r="V42" s="11">
        <f t="shared" si="26"/>
        <v>14</v>
      </c>
      <c r="W42" s="11">
        <f t="shared" si="26"/>
        <v>14</v>
      </c>
      <c r="X42" s="11">
        <f t="shared" si="26"/>
        <v>14</v>
      </c>
      <c r="Y42" s="11">
        <f t="shared" si="26"/>
        <v>15</v>
      </c>
      <c r="Z42" s="11">
        <f t="shared" si="26"/>
        <v>15</v>
      </c>
      <c r="AA42" s="11">
        <f t="shared" si="26"/>
        <v>15</v>
      </c>
      <c r="AB42" s="11">
        <f t="shared" si="26"/>
        <v>15</v>
      </c>
      <c r="AC42" s="11">
        <f t="shared" si="26"/>
        <v>15</v>
      </c>
      <c r="AD42" s="11">
        <f t="shared" si="26"/>
        <v>15</v>
      </c>
      <c r="AE42" s="99">
        <f t="shared" si="14"/>
        <v>17</v>
      </c>
      <c r="AF42" s="11">
        <f aca="true" t="shared" si="27" ref="AF42:AQ42">ROUNDUP(AF32*$G$36,0)</f>
        <v>16</v>
      </c>
      <c r="AG42" s="11">
        <f t="shared" si="27"/>
        <v>16</v>
      </c>
      <c r="AH42" s="11">
        <f t="shared" si="27"/>
        <v>16</v>
      </c>
      <c r="AI42" s="11">
        <f t="shared" si="27"/>
        <v>16</v>
      </c>
      <c r="AJ42" s="11">
        <f t="shared" si="27"/>
        <v>16</v>
      </c>
      <c r="AK42" s="11">
        <f t="shared" si="27"/>
        <v>16</v>
      </c>
      <c r="AL42" s="11">
        <f t="shared" si="27"/>
        <v>17</v>
      </c>
      <c r="AM42" s="11">
        <f t="shared" si="27"/>
        <v>17</v>
      </c>
      <c r="AN42" s="11">
        <f t="shared" si="27"/>
        <v>17</v>
      </c>
      <c r="AO42" s="11">
        <f t="shared" si="27"/>
        <v>17</v>
      </c>
      <c r="AP42" s="11">
        <f t="shared" si="27"/>
        <v>17</v>
      </c>
      <c r="AQ42" s="11">
        <f t="shared" si="27"/>
        <v>17</v>
      </c>
      <c r="AR42" s="576">
        <f>O32</f>
        <v>13</v>
      </c>
      <c r="AS42" s="214" t="str">
        <f t="shared" si="16"/>
        <v>Before/After Care</v>
      </c>
    </row>
    <row r="43" spans="1:45" ht="16.5" customHeight="1" thickBot="1">
      <c r="A43" s="147" t="str">
        <f t="shared" si="10"/>
        <v>Summer Camp</v>
      </c>
      <c r="B43" s="271">
        <f t="shared" si="11"/>
        <v>17</v>
      </c>
      <c r="C43" s="148"/>
      <c r="D43" s="271"/>
      <c r="E43" s="148"/>
      <c r="F43" s="610">
        <f t="shared" si="17"/>
        <v>20</v>
      </c>
      <c r="G43" s="11">
        <f t="shared" si="17"/>
        <v>20</v>
      </c>
      <c r="H43" s="11">
        <f t="shared" si="17"/>
        <v>20</v>
      </c>
      <c r="I43" s="11">
        <f t="shared" si="17"/>
        <v>21</v>
      </c>
      <c r="J43" s="11">
        <f t="shared" si="17"/>
        <v>21</v>
      </c>
      <c r="K43" s="11">
        <f t="shared" si="17"/>
        <v>15</v>
      </c>
      <c r="L43" s="11">
        <f t="shared" si="17"/>
        <v>15</v>
      </c>
      <c r="M43" s="11">
        <f t="shared" si="17"/>
        <v>22</v>
      </c>
      <c r="N43" s="11">
        <f t="shared" si="17"/>
        <v>23</v>
      </c>
      <c r="O43" s="11">
        <f t="shared" si="17"/>
        <v>23</v>
      </c>
      <c r="P43" s="11">
        <f t="shared" si="17"/>
        <v>24</v>
      </c>
      <c r="Q43" s="11">
        <f t="shared" si="17"/>
        <v>24</v>
      </c>
      <c r="R43" s="99"/>
      <c r="S43" s="11">
        <f aca="true" t="shared" si="28" ref="S43:AD43">ROUNDUP(S33*$G$36,0)</f>
        <v>25</v>
      </c>
      <c r="T43" s="11">
        <f t="shared" si="28"/>
        <v>25</v>
      </c>
      <c r="U43" s="11">
        <f t="shared" si="28"/>
        <v>25</v>
      </c>
      <c r="V43" s="11">
        <f t="shared" si="28"/>
        <v>26</v>
      </c>
      <c r="W43" s="11">
        <f t="shared" si="28"/>
        <v>26</v>
      </c>
      <c r="X43" s="11">
        <f t="shared" si="28"/>
        <v>20</v>
      </c>
      <c r="Y43" s="11">
        <f t="shared" si="28"/>
        <v>20</v>
      </c>
      <c r="Z43" s="11">
        <f t="shared" si="28"/>
        <v>27</v>
      </c>
      <c r="AA43" s="11">
        <f t="shared" si="28"/>
        <v>28</v>
      </c>
      <c r="AB43" s="11">
        <f t="shared" si="28"/>
        <v>28</v>
      </c>
      <c r="AC43" s="11">
        <f t="shared" si="28"/>
        <v>29</v>
      </c>
      <c r="AD43" s="11">
        <f t="shared" si="28"/>
        <v>29</v>
      </c>
      <c r="AE43" s="99">
        <f t="shared" si="14"/>
        <v>17</v>
      </c>
      <c r="AF43" s="11">
        <f aca="true" t="shared" si="29" ref="AF43:AQ43">ROUNDUP(AF33*$G$36,0)</f>
        <v>30</v>
      </c>
      <c r="AG43" s="11">
        <f t="shared" si="29"/>
        <v>30</v>
      </c>
      <c r="AH43" s="11">
        <f t="shared" si="29"/>
        <v>30</v>
      </c>
      <c r="AI43" s="11">
        <f t="shared" si="29"/>
        <v>31</v>
      </c>
      <c r="AJ43" s="11">
        <f t="shared" si="29"/>
        <v>31</v>
      </c>
      <c r="AK43" s="11">
        <f t="shared" si="29"/>
        <v>24</v>
      </c>
      <c r="AL43" s="11">
        <f t="shared" si="29"/>
        <v>24</v>
      </c>
      <c r="AM43" s="11">
        <f t="shared" si="29"/>
        <v>32</v>
      </c>
      <c r="AN43" s="11">
        <f t="shared" si="29"/>
        <v>33</v>
      </c>
      <c r="AO43" s="11">
        <f t="shared" si="29"/>
        <v>33</v>
      </c>
      <c r="AP43" s="11">
        <f t="shared" si="29"/>
        <v>34</v>
      </c>
      <c r="AQ43" s="11">
        <f t="shared" si="29"/>
        <v>34</v>
      </c>
      <c r="AR43" s="576">
        <f>O33</f>
        <v>23</v>
      </c>
      <c r="AS43" s="217" t="str">
        <f t="shared" si="16"/>
        <v>Summer Camp</v>
      </c>
    </row>
    <row r="44" spans="2:44" ht="16.5" customHeight="1" thickTop="1">
      <c r="B44" s="150"/>
      <c r="C44" s="150"/>
      <c r="D44" s="151" t="s">
        <v>35</v>
      </c>
      <c r="E44" s="191"/>
      <c r="F44" s="205">
        <f aca="true" t="shared" si="30" ref="F44:Q44">SUM(F37:F43)</f>
        <v>64</v>
      </c>
      <c r="G44" s="209">
        <f t="shared" si="30"/>
        <v>64</v>
      </c>
      <c r="H44" s="208">
        <f t="shared" si="30"/>
        <v>64</v>
      </c>
      <c r="I44" s="208">
        <f t="shared" si="30"/>
        <v>66</v>
      </c>
      <c r="J44" s="208">
        <f t="shared" si="30"/>
        <v>66</v>
      </c>
      <c r="K44" s="208">
        <f t="shared" si="30"/>
        <v>60</v>
      </c>
      <c r="L44" s="208">
        <f t="shared" si="30"/>
        <v>64</v>
      </c>
      <c r="M44" s="208">
        <f t="shared" si="30"/>
        <v>71</v>
      </c>
      <c r="N44" s="208">
        <f t="shared" si="30"/>
        <v>72</v>
      </c>
      <c r="O44" s="208">
        <f t="shared" si="30"/>
        <v>73</v>
      </c>
      <c r="P44" s="208">
        <f t="shared" si="30"/>
        <v>74</v>
      </c>
      <c r="Q44" s="208">
        <f t="shared" si="30"/>
        <v>74</v>
      </c>
      <c r="R44" s="192"/>
      <c r="S44" s="210">
        <f aca="true" t="shared" si="31" ref="S44:AD44">SUM(S37:S43)</f>
        <v>79</v>
      </c>
      <c r="T44" s="208">
        <f t="shared" si="31"/>
        <v>79</v>
      </c>
      <c r="U44" s="208">
        <f t="shared" si="31"/>
        <v>79</v>
      </c>
      <c r="V44" s="208">
        <f t="shared" si="31"/>
        <v>81</v>
      </c>
      <c r="W44" s="208">
        <f t="shared" si="31"/>
        <v>81</v>
      </c>
      <c r="X44" s="208">
        <f t="shared" si="31"/>
        <v>75</v>
      </c>
      <c r="Y44" s="208">
        <f t="shared" si="31"/>
        <v>79</v>
      </c>
      <c r="Z44" s="208">
        <f t="shared" si="31"/>
        <v>86</v>
      </c>
      <c r="AA44" s="208">
        <f t="shared" si="31"/>
        <v>87</v>
      </c>
      <c r="AB44" s="208">
        <f t="shared" si="31"/>
        <v>88</v>
      </c>
      <c r="AC44" s="208">
        <f t="shared" si="31"/>
        <v>89</v>
      </c>
      <c r="AD44" s="206">
        <f t="shared" si="31"/>
        <v>89</v>
      </c>
      <c r="AE44" s="99"/>
      <c r="AF44" s="210">
        <f aca="true" t="shared" si="32" ref="AF44:AQ44">SUM(AF37:AF43)</f>
        <v>94</v>
      </c>
      <c r="AG44" s="208">
        <f t="shared" si="32"/>
        <v>94</v>
      </c>
      <c r="AH44" s="208">
        <f t="shared" si="32"/>
        <v>94</v>
      </c>
      <c r="AI44" s="208">
        <f t="shared" si="32"/>
        <v>95</v>
      </c>
      <c r="AJ44" s="208">
        <f t="shared" si="32"/>
        <v>95</v>
      </c>
      <c r="AK44" s="208">
        <f t="shared" si="32"/>
        <v>88</v>
      </c>
      <c r="AL44" s="208">
        <f t="shared" si="32"/>
        <v>89</v>
      </c>
      <c r="AM44" s="208">
        <f t="shared" si="32"/>
        <v>97</v>
      </c>
      <c r="AN44" s="208">
        <f t="shared" si="32"/>
        <v>98</v>
      </c>
      <c r="AO44" s="208">
        <f t="shared" si="32"/>
        <v>98</v>
      </c>
      <c r="AP44" s="208">
        <f t="shared" si="32"/>
        <v>99</v>
      </c>
      <c r="AQ44" s="206">
        <f t="shared" si="32"/>
        <v>99</v>
      </c>
      <c r="AR44" s="575">
        <f>SUM(AR37:AR43)</f>
        <v>132</v>
      </c>
    </row>
    <row r="45" spans="2:10" ht="16.5" customHeight="1">
      <c r="B45" s="68"/>
      <c r="C45" s="68"/>
      <c r="D45" s="68"/>
      <c r="E45" s="68"/>
      <c r="F45" s="68"/>
      <c r="G45" s="68"/>
      <c r="H45" s="68"/>
      <c r="I45" s="68"/>
      <c r="J45" s="68"/>
    </row>
    <row r="46" spans="1:35" ht="19.5" customHeight="1">
      <c r="A46" s="243" t="s">
        <v>144</v>
      </c>
      <c r="B46" s="243"/>
      <c r="C46" s="243"/>
      <c r="D46" s="243"/>
      <c r="E46" s="243"/>
      <c r="F46" s="243"/>
      <c r="G46" s="243"/>
      <c r="H46" s="243"/>
      <c r="I46" s="243"/>
      <c r="J46" s="243"/>
      <c r="K46" s="243"/>
      <c r="S46" s="79"/>
      <c r="V46" s="349"/>
      <c r="AF46" s="79"/>
      <c r="AI46" s="349"/>
    </row>
    <row r="47" spans="1:45" ht="16.5" customHeight="1" thickBot="1">
      <c r="A47" s="152" t="str">
        <f aca="true" t="shared" si="33" ref="A47:A53">S11</f>
        <v>Infants (6 wks - 12 months)</v>
      </c>
      <c r="B47" s="157"/>
      <c r="C47" s="157"/>
      <c r="D47" s="154"/>
      <c r="E47" s="154">
        <v>0</v>
      </c>
      <c r="F47" s="567">
        <f aca="true" t="shared" si="34" ref="F47:Q47">IF(F37&gt;0,ROUNDUP(+F37/$L9,0),0)</f>
        <v>0</v>
      </c>
      <c r="G47" s="568">
        <f t="shared" si="34"/>
        <v>0</v>
      </c>
      <c r="H47" s="569">
        <f t="shared" si="34"/>
        <v>0</v>
      </c>
      <c r="I47" s="569">
        <f t="shared" si="34"/>
        <v>0</v>
      </c>
      <c r="J47" s="569">
        <f t="shared" si="34"/>
        <v>0</v>
      </c>
      <c r="K47" s="569">
        <f t="shared" si="34"/>
        <v>0</v>
      </c>
      <c r="L47" s="569">
        <f t="shared" si="34"/>
        <v>0</v>
      </c>
      <c r="M47" s="569">
        <f t="shared" si="34"/>
        <v>0</v>
      </c>
      <c r="N47" s="569">
        <f t="shared" si="34"/>
        <v>0</v>
      </c>
      <c r="O47" s="569">
        <f t="shared" si="34"/>
        <v>0</v>
      </c>
      <c r="P47" s="569">
        <f t="shared" si="34"/>
        <v>0</v>
      </c>
      <c r="Q47" s="569">
        <f t="shared" si="34"/>
        <v>0</v>
      </c>
      <c r="R47" s="570"/>
      <c r="S47" s="569">
        <f aca="true" t="shared" si="35" ref="S47:AD47">IF(S37&gt;0,ROUNDUP(+S37/$L9,0),0)</f>
        <v>0</v>
      </c>
      <c r="T47" s="569">
        <f t="shared" si="35"/>
        <v>0</v>
      </c>
      <c r="U47" s="569">
        <f t="shared" si="35"/>
        <v>0</v>
      </c>
      <c r="V47" s="569">
        <f t="shared" si="35"/>
        <v>0</v>
      </c>
      <c r="W47" s="569">
        <f t="shared" si="35"/>
        <v>0</v>
      </c>
      <c r="X47" s="569">
        <f t="shared" si="35"/>
        <v>0</v>
      </c>
      <c r="Y47" s="569">
        <f t="shared" si="35"/>
        <v>0</v>
      </c>
      <c r="Z47" s="569">
        <f t="shared" si="35"/>
        <v>0</v>
      </c>
      <c r="AA47" s="569">
        <f t="shared" si="35"/>
        <v>0</v>
      </c>
      <c r="AB47" s="569">
        <f t="shared" si="35"/>
        <v>0</v>
      </c>
      <c r="AC47" s="569">
        <f t="shared" si="35"/>
        <v>0</v>
      </c>
      <c r="AD47" s="569">
        <f t="shared" si="35"/>
        <v>0</v>
      </c>
      <c r="AE47" s="570"/>
      <c r="AF47" s="569">
        <f aca="true" t="shared" si="36" ref="AF47:AQ47">IF(AF37&gt;0,ROUNDUP(+AF37/$L9,0),0)</f>
        <v>0</v>
      </c>
      <c r="AG47" s="569">
        <f t="shared" si="36"/>
        <v>0</v>
      </c>
      <c r="AH47" s="569">
        <f t="shared" si="36"/>
        <v>0</v>
      </c>
      <c r="AI47" s="569">
        <f t="shared" si="36"/>
        <v>0</v>
      </c>
      <c r="AJ47" s="569">
        <f t="shared" si="36"/>
        <v>0</v>
      </c>
      <c r="AK47" s="569">
        <f t="shared" si="36"/>
        <v>0</v>
      </c>
      <c r="AL47" s="569">
        <f t="shared" si="36"/>
        <v>0</v>
      </c>
      <c r="AM47" s="569">
        <f t="shared" si="36"/>
        <v>0</v>
      </c>
      <c r="AN47" s="569">
        <f t="shared" si="36"/>
        <v>0</v>
      </c>
      <c r="AO47" s="569">
        <f t="shared" si="36"/>
        <v>0</v>
      </c>
      <c r="AP47" s="569">
        <f t="shared" si="36"/>
        <v>0</v>
      </c>
      <c r="AQ47" s="569">
        <f t="shared" si="36"/>
        <v>0</v>
      </c>
      <c r="AR47" s="99"/>
      <c r="AS47" s="86" t="str">
        <f aca="true" t="shared" si="37" ref="AS47:AS53">AS27</f>
        <v>Infants (6 wks - 12 months)</v>
      </c>
    </row>
    <row r="48" spans="1:45" ht="16.5" customHeight="1" thickBot="1">
      <c r="A48" s="152" t="str">
        <f t="shared" si="33"/>
        <v>Toddlers (12mo-24mo)</v>
      </c>
      <c r="B48" s="157"/>
      <c r="C48" s="157"/>
      <c r="D48" s="154"/>
      <c r="E48" s="154">
        <v>0</v>
      </c>
      <c r="F48" s="571">
        <f aca="true" t="shared" si="38" ref="F48:Q48">IF(AND(F37+F38&lt;(F47+1)*$L9,F47&gt;0),ROUNDUP((+F37+F38)/$L9,0)-F47,ROUNDUP(F38/$L10,0))</f>
        <v>0</v>
      </c>
      <c r="G48" s="572">
        <f t="shared" si="38"/>
        <v>0</v>
      </c>
      <c r="H48" s="573">
        <f t="shared" si="38"/>
        <v>0</v>
      </c>
      <c r="I48" s="573">
        <f t="shared" si="38"/>
        <v>0</v>
      </c>
      <c r="J48" s="573">
        <f t="shared" si="38"/>
        <v>0</v>
      </c>
      <c r="K48" s="573">
        <f t="shared" si="38"/>
        <v>0</v>
      </c>
      <c r="L48" s="573">
        <f t="shared" si="38"/>
        <v>0</v>
      </c>
      <c r="M48" s="573">
        <f t="shared" si="38"/>
        <v>0</v>
      </c>
      <c r="N48" s="573">
        <f t="shared" si="38"/>
        <v>0</v>
      </c>
      <c r="O48" s="573">
        <f t="shared" si="38"/>
        <v>0</v>
      </c>
      <c r="P48" s="573">
        <f t="shared" si="38"/>
        <v>0</v>
      </c>
      <c r="Q48" s="573">
        <f t="shared" si="38"/>
        <v>0</v>
      </c>
      <c r="R48" s="570"/>
      <c r="S48" s="573">
        <f aca="true" t="shared" si="39" ref="S48:AD48">IF(AND(S37+S38&lt;(S47+1)*$L9,S47&gt;0),ROUNDUP((+S37+S38)/$L9,0)-S47,ROUNDUP(S38/$L10,0))</f>
        <v>0</v>
      </c>
      <c r="T48" s="573">
        <f t="shared" si="39"/>
        <v>0</v>
      </c>
      <c r="U48" s="573">
        <f t="shared" si="39"/>
        <v>0</v>
      </c>
      <c r="V48" s="573">
        <f t="shared" si="39"/>
        <v>0</v>
      </c>
      <c r="W48" s="573">
        <f t="shared" si="39"/>
        <v>0</v>
      </c>
      <c r="X48" s="573">
        <f t="shared" si="39"/>
        <v>0</v>
      </c>
      <c r="Y48" s="573">
        <f t="shared" si="39"/>
        <v>0</v>
      </c>
      <c r="Z48" s="573">
        <f t="shared" si="39"/>
        <v>0</v>
      </c>
      <c r="AA48" s="573">
        <f t="shared" si="39"/>
        <v>0</v>
      </c>
      <c r="AB48" s="573">
        <f t="shared" si="39"/>
        <v>0</v>
      </c>
      <c r="AC48" s="573">
        <f t="shared" si="39"/>
        <v>0</v>
      </c>
      <c r="AD48" s="573">
        <f t="shared" si="39"/>
        <v>0</v>
      </c>
      <c r="AE48" s="570"/>
      <c r="AF48" s="573">
        <f aca="true" t="shared" si="40" ref="AF48:AQ48">IF(AND(AF37+AF38&lt;(AF47+1)*$L9,AF47&gt;0),ROUNDUP((+AF37+AF38)/$L9,0)-AF47,ROUNDUP(AF38/$L10,0))</f>
        <v>0</v>
      </c>
      <c r="AG48" s="573">
        <f t="shared" si="40"/>
        <v>0</v>
      </c>
      <c r="AH48" s="573">
        <f t="shared" si="40"/>
        <v>0</v>
      </c>
      <c r="AI48" s="573">
        <f t="shared" si="40"/>
        <v>0</v>
      </c>
      <c r="AJ48" s="573">
        <f t="shared" si="40"/>
        <v>0</v>
      </c>
      <c r="AK48" s="573">
        <f t="shared" si="40"/>
        <v>0</v>
      </c>
      <c r="AL48" s="573">
        <f t="shared" si="40"/>
        <v>0</v>
      </c>
      <c r="AM48" s="573">
        <f t="shared" si="40"/>
        <v>0</v>
      </c>
      <c r="AN48" s="573">
        <f t="shared" si="40"/>
        <v>0</v>
      </c>
      <c r="AO48" s="573">
        <f t="shared" si="40"/>
        <v>0</v>
      </c>
      <c r="AP48" s="573">
        <f t="shared" si="40"/>
        <v>0</v>
      </c>
      <c r="AQ48" s="573">
        <f t="shared" si="40"/>
        <v>0</v>
      </c>
      <c r="AR48" s="99"/>
      <c r="AS48" s="86" t="str">
        <f t="shared" si="37"/>
        <v>Toddlers (12mo-24mo)</v>
      </c>
    </row>
    <row r="49" spans="1:45" ht="16.5" customHeight="1">
      <c r="A49" s="152" t="str">
        <f t="shared" si="33"/>
        <v>Toddlers (24mo to 36 mo)</v>
      </c>
      <c r="B49" s="157"/>
      <c r="C49" s="157"/>
      <c r="D49" s="154"/>
      <c r="E49" s="154">
        <v>0</v>
      </c>
      <c r="F49" s="567">
        <f aca="true" t="shared" si="41" ref="F49:Q49">IF(F39&gt;0,ROUNDUP(+F39/$L11,0),0)</f>
        <v>2</v>
      </c>
      <c r="G49" s="574">
        <f t="shared" si="41"/>
        <v>2</v>
      </c>
      <c r="H49" s="574">
        <f t="shared" si="41"/>
        <v>2</v>
      </c>
      <c r="I49" s="574">
        <f t="shared" si="41"/>
        <v>2</v>
      </c>
      <c r="J49" s="574">
        <f t="shared" si="41"/>
        <v>2</v>
      </c>
      <c r="K49" s="574">
        <f t="shared" si="41"/>
        <v>2</v>
      </c>
      <c r="L49" s="574">
        <f t="shared" si="41"/>
        <v>2</v>
      </c>
      <c r="M49" s="574">
        <f t="shared" si="41"/>
        <v>2</v>
      </c>
      <c r="N49" s="574">
        <f t="shared" si="41"/>
        <v>2</v>
      </c>
      <c r="O49" s="574">
        <f t="shared" si="41"/>
        <v>2</v>
      </c>
      <c r="P49" s="574">
        <f t="shared" si="41"/>
        <v>2</v>
      </c>
      <c r="Q49" s="574">
        <f t="shared" si="41"/>
        <v>2</v>
      </c>
      <c r="R49" s="570"/>
      <c r="S49" s="574">
        <f aca="true" t="shared" si="42" ref="S49:AD49">IF(S39&gt;0,ROUNDUP(+S39/$L11,0),0)</f>
        <v>2</v>
      </c>
      <c r="T49" s="574">
        <f t="shared" si="42"/>
        <v>2</v>
      </c>
      <c r="U49" s="574">
        <f t="shared" si="42"/>
        <v>2</v>
      </c>
      <c r="V49" s="574">
        <f t="shared" si="42"/>
        <v>3</v>
      </c>
      <c r="W49" s="574">
        <f t="shared" si="42"/>
        <v>3</v>
      </c>
      <c r="X49" s="574">
        <f t="shared" si="42"/>
        <v>3</v>
      </c>
      <c r="Y49" s="574">
        <f t="shared" si="42"/>
        <v>3</v>
      </c>
      <c r="Z49" s="574">
        <f t="shared" si="42"/>
        <v>3</v>
      </c>
      <c r="AA49" s="574">
        <f t="shared" si="42"/>
        <v>3</v>
      </c>
      <c r="AB49" s="574">
        <f t="shared" si="42"/>
        <v>3</v>
      </c>
      <c r="AC49" s="574">
        <f t="shared" si="42"/>
        <v>3</v>
      </c>
      <c r="AD49" s="574">
        <f t="shared" si="42"/>
        <v>3</v>
      </c>
      <c r="AE49" s="570"/>
      <c r="AF49" s="574">
        <f aca="true" t="shared" si="43" ref="AF49:AQ49">IF(AF39&gt;0,ROUNDUP(+AF39/$L11,0),0)</f>
        <v>3</v>
      </c>
      <c r="AG49" s="574">
        <f t="shared" si="43"/>
        <v>3</v>
      </c>
      <c r="AH49" s="574">
        <f t="shared" si="43"/>
        <v>3</v>
      </c>
      <c r="AI49" s="574">
        <f t="shared" si="43"/>
        <v>3</v>
      </c>
      <c r="AJ49" s="574">
        <f t="shared" si="43"/>
        <v>3</v>
      </c>
      <c r="AK49" s="574">
        <f t="shared" si="43"/>
        <v>3</v>
      </c>
      <c r="AL49" s="574">
        <f t="shared" si="43"/>
        <v>3</v>
      </c>
      <c r="AM49" s="574">
        <f t="shared" si="43"/>
        <v>3</v>
      </c>
      <c r="AN49" s="574">
        <f t="shared" si="43"/>
        <v>3</v>
      </c>
      <c r="AO49" s="574">
        <f t="shared" si="43"/>
        <v>3</v>
      </c>
      <c r="AP49" s="574">
        <f t="shared" si="43"/>
        <v>3</v>
      </c>
      <c r="AQ49" s="574">
        <f t="shared" si="43"/>
        <v>3</v>
      </c>
      <c r="AR49" s="99"/>
      <c r="AS49" s="86" t="str">
        <f t="shared" si="37"/>
        <v>Toddlers (24mo to 36 mo)</v>
      </c>
    </row>
    <row r="50" spans="1:45" ht="16.5" customHeight="1" thickBot="1">
      <c r="A50" s="152" t="str">
        <f t="shared" si="33"/>
        <v>3's Classroom</v>
      </c>
      <c r="B50" s="157"/>
      <c r="C50" s="157"/>
      <c r="D50" s="158"/>
      <c r="E50" s="158">
        <v>1</v>
      </c>
      <c r="F50" s="567">
        <f aca="true" t="shared" si="44" ref="F50:Q50">IF(F40&gt;0,ROUNDUP(+F40/$L12,0),0)</f>
        <v>2</v>
      </c>
      <c r="G50" s="568">
        <f t="shared" si="44"/>
        <v>2</v>
      </c>
      <c r="H50" s="569">
        <f t="shared" si="44"/>
        <v>2</v>
      </c>
      <c r="I50" s="569">
        <f t="shared" si="44"/>
        <v>2</v>
      </c>
      <c r="J50" s="569">
        <f t="shared" si="44"/>
        <v>2</v>
      </c>
      <c r="K50" s="569">
        <f t="shared" si="44"/>
        <v>2</v>
      </c>
      <c r="L50" s="569">
        <f t="shared" si="44"/>
        <v>2</v>
      </c>
      <c r="M50" s="569">
        <f t="shared" si="44"/>
        <v>2</v>
      </c>
      <c r="N50" s="569">
        <f t="shared" si="44"/>
        <v>2</v>
      </c>
      <c r="O50" s="569">
        <f t="shared" si="44"/>
        <v>2</v>
      </c>
      <c r="P50" s="569">
        <f t="shared" si="44"/>
        <v>2</v>
      </c>
      <c r="Q50" s="569">
        <f t="shared" si="44"/>
        <v>2</v>
      </c>
      <c r="R50" s="570"/>
      <c r="S50" s="569">
        <f aca="true" t="shared" si="45" ref="S50:AD50">IF(S40&gt;0,ROUNDUP(+S40/$L12,0),0)</f>
        <v>2</v>
      </c>
      <c r="T50" s="569">
        <f t="shared" si="45"/>
        <v>2</v>
      </c>
      <c r="U50" s="569">
        <f t="shared" si="45"/>
        <v>2</v>
      </c>
      <c r="V50" s="569">
        <f t="shared" si="45"/>
        <v>2</v>
      </c>
      <c r="W50" s="569">
        <f t="shared" si="45"/>
        <v>2</v>
      </c>
      <c r="X50" s="569">
        <f t="shared" si="45"/>
        <v>2</v>
      </c>
      <c r="Y50" s="569">
        <f t="shared" si="45"/>
        <v>2</v>
      </c>
      <c r="Z50" s="569">
        <f t="shared" si="45"/>
        <v>2</v>
      </c>
      <c r="AA50" s="569">
        <f t="shared" si="45"/>
        <v>2</v>
      </c>
      <c r="AB50" s="569">
        <f t="shared" si="45"/>
        <v>2</v>
      </c>
      <c r="AC50" s="569">
        <f t="shared" si="45"/>
        <v>2</v>
      </c>
      <c r="AD50" s="569">
        <f t="shared" si="45"/>
        <v>2</v>
      </c>
      <c r="AE50" s="570"/>
      <c r="AF50" s="569">
        <f aca="true" t="shared" si="46" ref="AF50:AQ50">IF(AF40&gt;0,ROUNDUP(+AF40/$L12,0),0)</f>
        <v>2</v>
      </c>
      <c r="AG50" s="569">
        <f t="shared" si="46"/>
        <v>2</v>
      </c>
      <c r="AH50" s="569">
        <f t="shared" si="46"/>
        <v>2</v>
      </c>
      <c r="AI50" s="569">
        <f t="shared" si="46"/>
        <v>2</v>
      </c>
      <c r="AJ50" s="569">
        <f t="shared" si="46"/>
        <v>2</v>
      </c>
      <c r="AK50" s="569">
        <f t="shared" si="46"/>
        <v>2</v>
      </c>
      <c r="AL50" s="569">
        <f t="shared" si="46"/>
        <v>2</v>
      </c>
      <c r="AM50" s="569">
        <f t="shared" si="46"/>
        <v>2</v>
      </c>
      <c r="AN50" s="569">
        <f t="shared" si="46"/>
        <v>2</v>
      </c>
      <c r="AO50" s="569">
        <f t="shared" si="46"/>
        <v>2</v>
      </c>
      <c r="AP50" s="569">
        <f t="shared" si="46"/>
        <v>2</v>
      </c>
      <c r="AQ50" s="569">
        <f t="shared" si="46"/>
        <v>2</v>
      </c>
      <c r="AR50" s="99"/>
      <c r="AS50" s="86" t="str">
        <f t="shared" si="37"/>
        <v>3's Classroom</v>
      </c>
    </row>
    <row r="51" spans="1:45" ht="16.5" customHeight="1" thickBot="1">
      <c r="A51" s="152" t="str">
        <f t="shared" si="33"/>
        <v>4's Clssroom</v>
      </c>
      <c r="B51" s="157"/>
      <c r="C51" s="157"/>
      <c r="D51" s="154"/>
      <c r="E51" s="154">
        <v>1</v>
      </c>
      <c r="F51" s="571">
        <f aca="true" t="shared" si="47" ref="F51:Q51">IF(AND(F40+F41&lt;(F50+1)*$L12,F50&gt;0),ROUNDUP((+F40+F41)/$L12,0)-F50,ROUNDUP(F41/$L13,0))</f>
        <v>2</v>
      </c>
      <c r="G51" s="572">
        <f t="shared" si="47"/>
        <v>2</v>
      </c>
      <c r="H51" s="573">
        <f t="shared" si="47"/>
        <v>2</v>
      </c>
      <c r="I51" s="573">
        <f t="shared" si="47"/>
        <v>2</v>
      </c>
      <c r="J51" s="573">
        <f t="shared" si="47"/>
        <v>2</v>
      </c>
      <c r="K51" s="573">
        <f t="shared" si="47"/>
        <v>2</v>
      </c>
      <c r="L51" s="573">
        <f t="shared" si="47"/>
        <v>2</v>
      </c>
      <c r="M51" s="573">
        <f t="shared" si="47"/>
        <v>2</v>
      </c>
      <c r="N51" s="573">
        <f t="shared" si="47"/>
        <v>2</v>
      </c>
      <c r="O51" s="573">
        <f t="shared" si="47"/>
        <v>2</v>
      </c>
      <c r="P51" s="573">
        <f t="shared" si="47"/>
        <v>2</v>
      </c>
      <c r="Q51" s="573">
        <f t="shared" si="47"/>
        <v>2</v>
      </c>
      <c r="R51" s="570"/>
      <c r="S51" s="573">
        <f aca="true" t="shared" si="48" ref="S51:AD51">IF(AND(S40+S41&lt;(S50+1)*$L12,S50&gt;0),ROUNDUP((+S40+S41)/$L12,0)-S50,ROUNDUP(S41/$L13,0))</f>
        <v>2</v>
      </c>
      <c r="T51" s="573">
        <f t="shared" si="48"/>
        <v>2</v>
      </c>
      <c r="U51" s="573">
        <f t="shared" si="48"/>
        <v>2</v>
      </c>
      <c r="V51" s="573">
        <f t="shared" si="48"/>
        <v>2</v>
      </c>
      <c r="W51" s="573">
        <f t="shared" si="48"/>
        <v>2</v>
      </c>
      <c r="X51" s="573">
        <f t="shared" si="48"/>
        <v>2</v>
      </c>
      <c r="Y51" s="573">
        <f t="shared" si="48"/>
        <v>2</v>
      </c>
      <c r="Z51" s="573">
        <f t="shared" si="48"/>
        <v>2</v>
      </c>
      <c r="AA51" s="573">
        <f t="shared" si="48"/>
        <v>2</v>
      </c>
      <c r="AB51" s="573">
        <f t="shared" si="48"/>
        <v>2</v>
      </c>
      <c r="AC51" s="573">
        <f t="shared" si="48"/>
        <v>2</v>
      </c>
      <c r="AD51" s="573">
        <f t="shared" si="48"/>
        <v>2</v>
      </c>
      <c r="AE51" s="570"/>
      <c r="AF51" s="573">
        <f aca="true" t="shared" si="49" ref="AF51:AQ51">IF(AND(AF40+AF41&lt;(AF50+1)*$L12,AF50&gt;0),ROUNDUP((+AF40+AF41)/$L12,0)-AF50,ROUNDUP(AF41/$L13,0))</f>
        <v>2</v>
      </c>
      <c r="AG51" s="573">
        <f t="shared" si="49"/>
        <v>2</v>
      </c>
      <c r="AH51" s="573">
        <f t="shared" si="49"/>
        <v>2</v>
      </c>
      <c r="AI51" s="573">
        <f t="shared" si="49"/>
        <v>2</v>
      </c>
      <c r="AJ51" s="573">
        <f t="shared" si="49"/>
        <v>2</v>
      </c>
      <c r="AK51" s="573">
        <f t="shared" si="49"/>
        <v>2</v>
      </c>
      <c r="AL51" s="573">
        <f t="shared" si="49"/>
        <v>2</v>
      </c>
      <c r="AM51" s="573">
        <f t="shared" si="49"/>
        <v>2</v>
      </c>
      <c r="AN51" s="573">
        <f t="shared" si="49"/>
        <v>2</v>
      </c>
      <c r="AO51" s="573">
        <f t="shared" si="49"/>
        <v>2</v>
      </c>
      <c r="AP51" s="573">
        <f t="shared" si="49"/>
        <v>2</v>
      </c>
      <c r="AQ51" s="573">
        <f t="shared" si="49"/>
        <v>2</v>
      </c>
      <c r="AR51" s="99"/>
      <c r="AS51" s="86" t="str">
        <f t="shared" si="37"/>
        <v>4's Clssroom</v>
      </c>
    </row>
    <row r="52" spans="1:45" ht="16.5" customHeight="1">
      <c r="A52" s="152" t="str">
        <f t="shared" si="33"/>
        <v>Before/After Care</v>
      </c>
      <c r="B52" s="157"/>
      <c r="C52" s="157"/>
      <c r="D52" s="154"/>
      <c r="E52" s="154">
        <v>0</v>
      </c>
      <c r="F52" s="567">
        <f aca="true" t="shared" si="50" ref="F52:Q52">IF(F42&gt;0,ROUNDUP(+F42/$L14,0),0)</f>
        <v>1</v>
      </c>
      <c r="G52" s="569">
        <f t="shared" si="50"/>
        <v>1</v>
      </c>
      <c r="H52" s="569">
        <f t="shared" si="50"/>
        <v>1</v>
      </c>
      <c r="I52" s="569">
        <f t="shared" si="50"/>
        <v>1</v>
      </c>
      <c r="J52" s="569">
        <f t="shared" si="50"/>
        <v>1</v>
      </c>
      <c r="K52" s="569">
        <f t="shared" si="50"/>
        <v>1</v>
      </c>
      <c r="L52" s="569">
        <f t="shared" si="50"/>
        <v>1</v>
      </c>
      <c r="M52" s="569">
        <f t="shared" si="50"/>
        <v>1</v>
      </c>
      <c r="N52" s="569">
        <f t="shared" si="50"/>
        <v>1</v>
      </c>
      <c r="O52" s="569">
        <f t="shared" si="50"/>
        <v>1</v>
      </c>
      <c r="P52" s="569">
        <f t="shared" si="50"/>
        <v>1</v>
      </c>
      <c r="Q52" s="569">
        <f t="shared" si="50"/>
        <v>1</v>
      </c>
      <c r="R52" s="570"/>
      <c r="S52" s="569">
        <f aca="true" t="shared" si="51" ref="S52:AD52">IF(S42&gt;0,ROUNDUP(+S42/$L14,0),0)</f>
        <v>1</v>
      </c>
      <c r="T52" s="569">
        <f t="shared" si="51"/>
        <v>1</v>
      </c>
      <c r="U52" s="569">
        <f t="shared" si="51"/>
        <v>1</v>
      </c>
      <c r="V52" s="569">
        <f t="shared" si="51"/>
        <v>1</v>
      </c>
      <c r="W52" s="569">
        <f t="shared" si="51"/>
        <v>1</v>
      </c>
      <c r="X52" s="569">
        <f t="shared" si="51"/>
        <v>1</v>
      </c>
      <c r="Y52" s="569">
        <f t="shared" si="51"/>
        <v>1</v>
      </c>
      <c r="Z52" s="569">
        <f t="shared" si="51"/>
        <v>1</v>
      </c>
      <c r="AA52" s="569">
        <f t="shared" si="51"/>
        <v>1</v>
      </c>
      <c r="AB52" s="569">
        <f t="shared" si="51"/>
        <v>1</v>
      </c>
      <c r="AC52" s="569">
        <f t="shared" si="51"/>
        <v>1</v>
      </c>
      <c r="AD52" s="569">
        <f t="shared" si="51"/>
        <v>1</v>
      </c>
      <c r="AE52" s="570"/>
      <c r="AF52" s="569">
        <f aca="true" t="shared" si="52" ref="AF52:AQ52">IF(AF42&gt;0,ROUNDUP(+AF42/$L14,0),0)</f>
        <v>1</v>
      </c>
      <c r="AG52" s="569">
        <f t="shared" si="52"/>
        <v>1</v>
      </c>
      <c r="AH52" s="569">
        <f t="shared" si="52"/>
        <v>1</v>
      </c>
      <c r="AI52" s="569">
        <f t="shared" si="52"/>
        <v>1</v>
      </c>
      <c r="AJ52" s="569">
        <f t="shared" si="52"/>
        <v>1</v>
      </c>
      <c r="AK52" s="569">
        <f t="shared" si="52"/>
        <v>1</v>
      </c>
      <c r="AL52" s="569">
        <f t="shared" si="52"/>
        <v>1</v>
      </c>
      <c r="AM52" s="569">
        <f t="shared" si="52"/>
        <v>1</v>
      </c>
      <c r="AN52" s="569">
        <f t="shared" si="52"/>
        <v>1</v>
      </c>
      <c r="AO52" s="569">
        <f t="shared" si="52"/>
        <v>1</v>
      </c>
      <c r="AP52" s="569">
        <f t="shared" si="52"/>
        <v>1</v>
      </c>
      <c r="AQ52" s="569">
        <f t="shared" si="52"/>
        <v>1</v>
      </c>
      <c r="AR52" s="99"/>
      <c r="AS52" s="81" t="str">
        <f t="shared" si="37"/>
        <v>Before/After Care</v>
      </c>
    </row>
    <row r="53" spans="1:45" ht="16.5" customHeight="1" thickBot="1">
      <c r="A53" s="152" t="str">
        <f t="shared" si="33"/>
        <v>Summer Camp</v>
      </c>
      <c r="B53" s="159"/>
      <c r="C53" s="159"/>
      <c r="D53" s="160"/>
      <c r="E53" s="160">
        <v>1</v>
      </c>
      <c r="F53" s="567">
        <f aca="true" t="shared" si="53" ref="F53:Q53">IF(F43&gt;0,ROUNDUP(+F43/$L15,0),0)</f>
        <v>2</v>
      </c>
      <c r="G53" s="569">
        <f t="shared" si="53"/>
        <v>2</v>
      </c>
      <c r="H53" s="569">
        <f t="shared" si="53"/>
        <v>2</v>
      </c>
      <c r="I53" s="569">
        <f t="shared" si="53"/>
        <v>2</v>
      </c>
      <c r="J53" s="569">
        <f t="shared" si="53"/>
        <v>2</v>
      </c>
      <c r="K53" s="569">
        <f t="shared" si="53"/>
        <v>1</v>
      </c>
      <c r="L53" s="569">
        <f t="shared" si="53"/>
        <v>1</v>
      </c>
      <c r="M53" s="569">
        <f t="shared" si="53"/>
        <v>2</v>
      </c>
      <c r="N53" s="569">
        <f t="shared" si="53"/>
        <v>2</v>
      </c>
      <c r="O53" s="569">
        <f t="shared" si="53"/>
        <v>2</v>
      </c>
      <c r="P53" s="569">
        <f t="shared" si="53"/>
        <v>2</v>
      </c>
      <c r="Q53" s="569">
        <f t="shared" si="53"/>
        <v>2</v>
      </c>
      <c r="R53" s="570"/>
      <c r="S53" s="569">
        <f aca="true" t="shared" si="54" ref="S53:AD53">IF(S43&gt;0,ROUNDUP(+S43/$L15,0),0)</f>
        <v>2</v>
      </c>
      <c r="T53" s="569">
        <f t="shared" si="54"/>
        <v>2</v>
      </c>
      <c r="U53" s="569">
        <f t="shared" si="54"/>
        <v>2</v>
      </c>
      <c r="V53" s="569">
        <f t="shared" si="54"/>
        <v>2</v>
      </c>
      <c r="W53" s="569">
        <f t="shared" si="54"/>
        <v>2</v>
      </c>
      <c r="X53" s="569">
        <f t="shared" si="54"/>
        <v>2</v>
      </c>
      <c r="Y53" s="569">
        <f t="shared" si="54"/>
        <v>2</v>
      </c>
      <c r="Z53" s="569">
        <f t="shared" si="54"/>
        <v>2</v>
      </c>
      <c r="AA53" s="569">
        <f t="shared" si="54"/>
        <v>2</v>
      </c>
      <c r="AB53" s="569">
        <f t="shared" si="54"/>
        <v>2</v>
      </c>
      <c r="AC53" s="569">
        <f t="shared" si="54"/>
        <v>2</v>
      </c>
      <c r="AD53" s="569">
        <f t="shared" si="54"/>
        <v>2</v>
      </c>
      <c r="AE53" s="570"/>
      <c r="AF53" s="569">
        <f aca="true" t="shared" si="55" ref="AF53:AQ53">IF(AF43&gt;0,ROUNDUP(+AF43/$L15,0),0)</f>
        <v>2</v>
      </c>
      <c r="AG53" s="569">
        <f t="shared" si="55"/>
        <v>2</v>
      </c>
      <c r="AH53" s="569">
        <f t="shared" si="55"/>
        <v>2</v>
      </c>
      <c r="AI53" s="569">
        <f t="shared" si="55"/>
        <v>2</v>
      </c>
      <c r="AJ53" s="569">
        <f t="shared" si="55"/>
        <v>2</v>
      </c>
      <c r="AK53" s="569">
        <f t="shared" si="55"/>
        <v>2</v>
      </c>
      <c r="AL53" s="569">
        <f t="shared" si="55"/>
        <v>2</v>
      </c>
      <c r="AM53" s="569">
        <f t="shared" si="55"/>
        <v>2</v>
      </c>
      <c r="AN53" s="569">
        <f t="shared" si="55"/>
        <v>2</v>
      </c>
      <c r="AO53" s="569">
        <f t="shared" si="55"/>
        <v>2</v>
      </c>
      <c r="AP53" s="569">
        <f t="shared" si="55"/>
        <v>2</v>
      </c>
      <c r="AQ53" s="569">
        <f t="shared" si="55"/>
        <v>2</v>
      </c>
      <c r="AR53" s="99"/>
      <c r="AS53" s="81" t="str">
        <f t="shared" si="37"/>
        <v>Summer Camp</v>
      </c>
    </row>
    <row r="54" spans="2:44" ht="16.5" customHeight="1" thickTop="1">
      <c r="B54" s="80"/>
      <c r="C54" s="566" t="s">
        <v>302</v>
      </c>
      <c r="D54" s="584">
        <f>SUM(D47:D53)</f>
        <v>0</v>
      </c>
      <c r="E54" s="584">
        <f>SUM(E47:E53)</f>
        <v>3</v>
      </c>
      <c r="F54" s="585">
        <f aca="true" t="shared" si="56" ref="F54:Q54">ROUNDUP(SUM(F37:F38)/12+F39/10+F40/12+F41/14,0)</f>
        <v>3</v>
      </c>
      <c r="G54" s="586">
        <f t="shared" si="56"/>
        <v>3</v>
      </c>
      <c r="H54" s="586">
        <f t="shared" si="56"/>
        <v>3</v>
      </c>
      <c r="I54" s="586">
        <f t="shared" si="56"/>
        <v>3</v>
      </c>
      <c r="J54" s="586">
        <f t="shared" si="56"/>
        <v>3</v>
      </c>
      <c r="K54" s="586">
        <f t="shared" si="56"/>
        <v>3</v>
      </c>
      <c r="L54" s="586">
        <f t="shared" si="56"/>
        <v>4</v>
      </c>
      <c r="M54" s="586">
        <f t="shared" si="56"/>
        <v>4</v>
      </c>
      <c r="N54" s="586">
        <f t="shared" si="56"/>
        <v>4</v>
      </c>
      <c r="O54" s="586">
        <f t="shared" si="56"/>
        <v>4</v>
      </c>
      <c r="P54" s="586">
        <f t="shared" si="56"/>
        <v>4</v>
      </c>
      <c r="Q54" s="586">
        <f t="shared" si="56"/>
        <v>4</v>
      </c>
      <c r="R54" s="587"/>
      <c r="S54" s="586">
        <f aca="true" t="shared" si="57" ref="S54:AD54">ROUNDUP(SUM(S37:S38)/12+S39/10+S40/12+S41/14,0)</f>
        <v>4</v>
      </c>
      <c r="T54" s="586">
        <f t="shared" si="57"/>
        <v>4</v>
      </c>
      <c r="U54" s="586">
        <f t="shared" si="57"/>
        <v>4</v>
      </c>
      <c r="V54" s="586">
        <f t="shared" si="57"/>
        <v>4</v>
      </c>
      <c r="W54" s="586">
        <f t="shared" si="57"/>
        <v>4</v>
      </c>
      <c r="X54" s="586">
        <f t="shared" si="57"/>
        <v>4</v>
      </c>
      <c r="Y54" s="586">
        <f t="shared" si="57"/>
        <v>4</v>
      </c>
      <c r="Z54" s="586">
        <f t="shared" si="57"/>
        <v>4</v>
      </c>
      <c r="AA54" s="586">
        <f t="shared" si="57"/>
        <v>4</v>
      </c>
      <c r="AB54" s="586">
        <f t="shared" si="57"/>
        <v>4</v>
      </c>
      <c r="AC54" s="586">
        <f t="shared" si="57"/>
        <v>4</v>
      </c>
      <c r="AD54" s="586">
        <f t="shared" si="57"/>
        <v>4</v>
      </c>
      <c r="AE54" s="588"/>
      <c r="AF54" s="586">
        <f aca="true" t="shared" si="58" ref="AF54:AO54">ROUNDUP(SUM(AF37:AF38)/12+AF39/10+AF40/12+AF41/14,0)</f>
        <v>5</v>
      </c>
      <c r="AG54" s="586">
        <f t="shared" si="58"/>
        <v>5</v>
      </c>
      <c r="AH54" s="586">
        <f t="shared" si="58"/>
        <v>5</v>
      </c>
      <c r="AI54" s="586">
        <f t="shared" si="58"/>
        <v>5</v>
      </c>
      <c r="AJ54" s="586">
        <f t="shared" si="58"/>
        <v>5</v>
      </c>
      <c r="AK54" s="586">
        <f t="shared" si="58"/>
        <v>5</v>
      </c>
      <c r="AL54" s="586">
        <f t="shared" si="58"/>
        <v>5</v>
      </c>
      <c r="AM54" s="586">
        <f t="shared" si="58"/>
        <v>5</v>
      </c>
      <c r="AN54" s="586">
        <f t="shared" si="58"/>
        <v>5</v>
      </c>
      <c r="AO54" s="586">
        <f t="shared" si="58"/>
        <v>5</v>
      </c>
      <c r="AP54" s="586">
        <f>ROUNDUP(SUM(AP37:AP38)/12+AP39/10+AP40/12+AP41/14,0)</f>
        <v>5</v>
      </c>
      <c r="AQ54" s="586">
        <f>ROUNDUP(SUM(AQ37:AQ38)/12+AQ39/10+AQ40/12+AQ41/14,0)</f>
        <v>5</v>
      </c>
      <c r="AR54" s="99"/>
    </row>
    <row r="55" spans="2:44" ht="16.5" customHeight="1">
      <c r="B55" s="80"/>
      <c r="C55" s="566" t="s">
        <v>303</v>
      </c>
      <c r="D55" s="589">
        <f>SUM(D47:D51)-D54</f>
        <v>0</v>
      </c>
      <c r="E55" s="590">
        <v>0</v>
      </c>
      <c r="F55" s="591">
        <f>SUM(F47:F51)-F54</f>
        <v>3</v>
      </c>
      <c r="G55" s="589">
        <f>SUM(G47:G51)-G54</f>
        <v>3</v>
      </c>
      <c r="H55" s="589">
        <f aca="true" t="shared" si="59" ref="H55:Q55">SUM(H47:H51)-H54</f>
        <v>3</v>
      </c>
      <c r="I55" s="589">
        <f t="shared" si="59"/>
        <v>3</v>
      </c>
      <c r="J55" s="589">
        <f t="shared" si="59"/>
        <v>3</v>
      </c>
      <c r="K55" s="589">
        <f t="shared" si="59"/>
        <v>3</v>
      </c>
      <c r="L55" s="589">
        <f t="shared" si="59"/>
        <v>2</v>
      </c>
      <c r="M55" s="589">
        <f t="shared" si="59"/>
        <v>2</v>
      </c>
      <c r="N55" s="589">
        <f t="shared" si="59"/>
        <v>2</v>
      </c>
      <c r="O55" s="589">
        <f t="shared" si="59"/>
        <v>2</v>
      </c>
      <c r="P55" s="589">
        <f t="shared" si="59"/>
        <v>2</v>
      </c>
      <c r="Q55" s="589">
        <f t="shared" si="59"/>
        <v>2</v>
      </c>
      <c r="R55" s="587"/>
      <c r="S55" s="589">
        <f>SUM(S47:S51)-S54</f>
        <v>2</v>
      </c>
      <c r="T55" s="589">
        <f aca="true" t="shared" si="60" ref="T55:AD55">SUM(T47:T51)-T54</f>
        <v>2</v>
      </c>
      <c r="U55" s="589">
        <f t="shared" si="60"/>
        <v>2</v>
      </c>
      <c r="V55" s="589">
        <f t="shared" si="60"/>
        <v>3</v>
      </c>
      <c r="W55" s="589">
        <f t="shared" si="60"/>
        <v>3</v>
      </c>
      <c r="X55" s="589">
        <f t="shared" si="60"/>
        <v>3</v>
      </c>
      <c r="Y55" s="589">
        <f t="shared" si="60"/>
        <v>3</v>
      </c>
      <c r="Z55" s="589">
        <f t="shared" si="60"/>
        <v>3</v>
      </c>
      <c r="AA55" s="589">
        <f t="shared" si="60"/>
        <v>3</v>
      </c>
      <c r="AB55" s="589">
        <f t="shared" si="60"/>
        <v>3</v>
      </c>
      <c r="AC55" s="589">
        <f t="shared" si="60"/>
        <v>3</v>
      </c>
      <c r="AD55" s="589">
        <f t="shared" si="60"/>
        <v>3</v>
      </c>
      <c r="AE55" s="588"/>
      <c r="AF55" s="589">
        <f aca="true" t="shared" si="61" ref="AF55:AQ55">SUM(AF47:AF51)-AF54</f>
        <v>2</v>
      </c>
      <c r="AG55" s="589">
        <f t="shared" si="61"/>
        <v>2</v>
      </c>
      <c r="AH55" s="589">
        <f t="shared" si="61"/>
        <v>2</v>
      </c>
      <c r="AI55" s="589">
        <f t="shared" si="61"/>
        <v>2</v>
      </c>
      <c r="AJ55" s="589">
        <f t="shared" si="61"/>
        <v>2</v>
      </c>
      <c r="AK55" s="589">
        <f t="shared" si="61"/>
        <v>2</v>
      </c>
      <c r="AL55" s="589">
        <f t="shared" si="61"/>
        <v>2</v>
      </c>
      <c r="AM55" s="589">
        <f t="shared" si="61"/>
        <v>2</v>
      </c>
      <c r="AN55" s="589">
        <f t="shared" si="61"/>
        <v>2</v>
      </c>
      <c r="AO55" s="589">
        <f t="shared" si="61"/>
        <v>2</v>
      </c>
      <c r="AP55" s="589">
        <f t="shared" si="61"/>
        <v>2</v>
      </c>
      <c r="AQ55" s="589">
        <f t="shared" si="61"/>
        <v>2</v>
      </c>
      <c r="AR55" s="99"/>
    </row>
    <row r="56" spans="1:18" ht="19.5" customHeight="1">
      <c r="A56" s="69"/>
      <c r="B56" s="69"/>
      <c r="C56" s="69"/>
      <c r="D56" s="69"/>
      <c r="E56" s="69"/>
      <c r="R56" s="95"/>
    </row>
    <row r="57" spans="1:32" ht="20.25" customHeight="1">
      <c r="A57" s="90" t="s">
        <v>91</v>
      </c>
      <c r="B57" s="138"/>
      <c r="C57" s="138"/>
      <c r="D57" s="138"/>
      <c r="E57" s="138"/>
      <c r="Q57" s="142"/>
      <c r="S57" s="153"/>
      <c r="AF57" s="153"/>
    </row>
    <row r="58" spans="1:44" ht="17.25" customHeight="1">
      <c r="A58" s="140" t="s">
        <v>145</v>
      </c>
      <c r="B58" s="140"/>
      <c r="C58" s="140"/>
      <c r="D58" s="140"/>
      <c r="E58" s="140"/>
      <c r="Q58" s="142"/>
      <c r="R58" s="69"/>
      <c r="S58" s="153"/>
      <c r="AE58" s="69"/>
      <c r="AF58" s="153"/>
      <c r="AR58" s="69"/>
    </row>
    <row r="59" spans="1:32" ht="48" customHeight="1">
      <c r="A59" s="670" t="s">
        <v>142</v>
      </c>
      <c r="B59" s="670"/>
      <c r="C59" s="670"/>
      <c r="D59" s="671"/>
      <c r="E59" s="368"/>
      <c r="F59" s="68"/>
      <c r="G59" s="68"/>
      <c r="H59" s="68"/>
      <c r="I59" s="68"/>
      <c r="J59" s="68"/>
      <c r="Q59" s="142"/>
      <c r="S59" s="153"/>
      <c r="AF59" s="153"/>
    </row>
    <row r="60" spans="1:43" ht="25.5" customHeight="1" thickBot="1">
      <c r="A60" s="96"/>
      <c r="B60" s="88">
        <f>C26-30</f>
        <v>44715</v>
      </c>
      <c r="C60" s="88">
        <f>C26</f>
        <v>44745</v>
      </c>
      <c r="D60" s="88">
        <f>D26</f>
        <v>44775</v>
      </c>
      <c r="E60" s="88"/>
      <c r="F60" s="146">
        <f>F26</f>
        <v>44835</v>
      </c>
      <c r="G60" s="88">
        <f>G26</f>
        <v>44885</v>
      </c>
      <c r="H60" s="88">
        <f>H26</f>
        <v>44915</v>
      </c>
      <c r="I60" s="88">
        <f aca="true" t="shared" si="62" ref="I60:Q60">I26</f>
        <v>44945</v>
      </c>
      <c r="J60" s="88">
        <f t="shared" si="62"/>
        <v>44975</v>
      </c>
      <c r="K60" s="88">
        <f t="shared" si="62"/>
        <v>45005</v>
      </c>
      <c r="L60" s="88">
        <f t="shared" si="62"/>
        <v>45035</v>
      </c>
      <c r="M60" s="88">
        <f t="shared" si="62"/>
        <v>45065</v>
      </c>
      <c r="N60" s="88">
        <f t="shared" si="62"/>
        <v>45095</v>
      </c>
      <c r="O60" s="88">
        <f t="shared" si="62"/>
        <v>45125</v>
      </c>
      <c r="P60" s="88">
        <f t="shared" si="62"/>
        <v>45155</v>
      </c>
      <c r="Q60" s="88">
        <f t="shared" si="62"/>
        <v>45185</v>
      </c>
      <c r="S60" s="88">
        <f aca="true" t="shared" si="63" ref="S60:AD60">S26</f>
        <v>45215</v>
      </c>
      <c r="T60" s="88">
        <f t="shared" si="63"/>
        <v>45245</v>
      </c>
      <c r="U60" s="88">
        <f t="shared" si="63"/>
        <v>45275</v>
      </c>
      <c r="V60" s="88">
        <f t="shared" si="63"/>
        <v>45305</v>
      </c>
      <c r="W60" s="88">
        <f t="shared" si="63"/>
        <v>45335</v>
      </c>
      <c r="X60" s="88">
        <f t="shared" si="63"/>
        <v>45365</v>
      </c>
      <c r="Y60" s="88">
        <f t="shared" si="63"/>
        <v>45395</v>
      </c>
      <c r="Z60" s="88">
        <f t="shared" si="63"/>
        <v>45425</v>
      </c>
      <c r="AA60" s="88">
        <f t="shared" si="63"/>
        <v>45455</v>
      </c>
      <c r="AB60" s="88">
        <f t="shared" si="63"/>
        <v>45485</v>
      </c>
      <c r="AC60" s="88">
        <f t="shared" si="63"/>
        <v>45515</v>
      </c>
      <c r="AD60" s="88">
        <f t="shared" si="63"/>
        <v>45545</v>
      </c>
      <c r="AF60" s="88">
        <f aca="true" t="shared" si="64" ref="AF60:AQ60">AF26</f>
        <v>45575</v>
      </c>
      <c r="AG60" s="88">
        <f t="shared" si="64"/>
        <v>45605</v>
      </c>
      <c r="AH60" s="88">
        <f t="shared" si="64"/>
        <v>45635</v>
      </c>
      <c r="AI60" s="88">
        <f t="shared" si="64"/>
        <v>45665</v>
      </c>
      <c r="AJ60" s="88">
        <f t="shared" si="64"/>
        <v>45695</v>
      </c>
      <c r="AK60" s="88">
        <f t="shared" si="64"/>
        <v>45725</v>
      </c>
      <c r="AL60" s="88">
        <f t="shared" si="64"/>
        <v>45755</v>
      </c>
      <c r="AM60" s="88">
        <f t="shared" si="64"/>
        <v>45785</v>
      </c>
      <c r="AN60" s="88">
        <f t="shared" si="64"/>
        <v>45815</v>
      </c>
      <c r="AO60" s="88">
        <f t="shared" si="64"/>
        <v>45845</v>
      </c>
      <c r="AP60" s="88">
        <f t="shared" si="64"/>
        <v>45875</v>
      </c>
      <c r="AQ60" s="88">
        <f t="shared" si="64"/>
        <v>45905</v>
      </c>
    </row>
    <row r="61" spans="1:44" ht="16.5" customHeight="1" thickTop="1">
      <c r="A61" s="633" t="s">
        <v>371</v>
      </c>
      <c r="B61" s="99"/>
      <c r="C61" s="99"/>
      <c r="D61" s="220"/>
      <c r="E61" s="376"/>
      <c r="F61" s="222">
        <v>20</v>
      </c>
      <c r="G61" s="228">
        <v>20</v>
      </c>
      <c r="H61" s="228">
        <v>20</v>
      </c>
      <c r="I61" s="228">
        <v>20</v>
      </c>
      <c r="J61" s="228">
        <v>20</v>
      </c>
      <c r="K61" s="228">
        <v>20</v>
      </c>
      <c r="L61" s="228">
        <v>20</v>
      </c>
      <c r="M61" s="228">
        <v>20</v>
      </c>
      <c r="N61" s="228">
        <v>20</v>
      </c>
      <c r="O61" s="228">
        <v>20</v>
      </c>
      <c r="P61" s="228">
        <v>20</v>
      </c>
      <c r="Q61" s="228">
        <v>28</v>
      </c>
      <c r="R61" s="225"/>
      <c r="S61" s="228">
        <v>28</v>
      </c>
      <c r="T61" s="632">
        <v>28</v>
      </c>
      <c r="U61" s="632">
        <v>28</v>
      </c>
      <c r="V61" s="632">
        <v>28</v>
      </c>
      <c r="W61" s="632">
        <v>28</v>
      </c>
      <c r="X61" s="632">
        <v>28</v>
      </c>
      <c r="Y61" s="632">
        <v>28</v>
      </c>
      <c r="Z61" s="632">
        <v>28</v>
      </c>
      <c r="AA61" s="228">
        <v>28</v>
      </c>
      <c r="AB61" s="228">
        <v>28</v>
      </c>
      <c r="AC61" s="228">
        <v>28</v>
      </c>
      <c r="AD61" s="228">
        <v>32</v>
      </c>
      <c r="AE61" s="225"/>
      <c r="AF61" s="228">
        <v>32</v>
      </c>
      <c r="AG61" s="632">
        <v>32</v>
      </c>
      <c r="AH61" s="632">
        <v>32</v>
      </c>
      <c r="AI61" s="632">
        <v>32</v>
      </c>
      <c r="AJ61" s="632">
        <v>32</v>
      </c>
      <c r="AK61" s="632">
        <v>32</v>
      </c>
      <c r="AL61" s="632">
        <v>32</v>
      </c>
      <c r="AM61" s="632">
        <v>32</v>
      </c>
      <c r="AN61" s="228">
        <v>32</v>
      </c>
      <c r="AO61" s="228">
        <v>32</v>
      </c>
      <c r="AP61" s="228">
        <v>32</v>
      </c>
      <c r="AQ61" s="228">
        <v>32</v>
      </c>
      <c r="AR61" s="225"/>
    </row>
    <row r="62" spans="1:44" ht="16.5" customHeight="1">
      <c r="A62" s="131" t="s">
        <v>20</v>
      </c>
      <c r="B62" s="99"/>
      <c r="C62" s="99"/>
      <c r="D62" s="220"/>
      <c r="E62" s="377"/>
      <c r="F62" s="223">
        <v>10</v>
      </c>
      <c r="G62" s="228">
        <f>F62</f>
        <v>10</v>
      </c>
      <c r="H62" s="228">
        <f>G62</f>
        <v>10</v>
      </c>
      <c r="I62" s="228">
        <f>H62</f>
        <v>10</v>
      </c>
      <c r="J62" s="228">
        <f>I62</f>
        <v>10</v>
      </c>
      <c r="K62" s="228">
        <f aca="true" t="shared" si="65" ref="K62:Q62">J62</f>
        <v>10</v>
      </c>
      <c r="L62" s="228">
        <f t="shared" si="65"/>
        <v>10</v>
      </c>
      <c r="M62" s="228">
        <f t="shared" si="65"/>
        <v>10</v>
      </c>
      <c r="N62" s="228">
        <f t="shared" si="65"/>
        <v>10</v>
      </c>
      <c r="O62" s="228">
        <f t="shared" si="65"/>
        <v>10</v>
      </c>
      <c r="P62" s="228">
        <f t="shared" si="65"/>
        <v>10</v>
      </c>
      <c r="Q62" s="228">
        <f t="shared" si="65"/>
        <v>10</v>
      </c>
      <c r="R62" s="98"/>
      <c r="S62" s="228">
        <v>14</v>
      </c>
      <c r="T62" s="228">
        <f>S62</f>
        <v>14</v>
      </c>
      <c r="U62" s="228">
        <f>T62</f>
        <v>14</v>
      </c>
      <c r="V62" s="228">
        <f aca="true" t="shared" si="66" ref="V62:AB62">U62</f>
        <v>14</v>
      </c>
      <c r="W62" s="228">
        <f t="shared" si="66"/>
        <v>14</v>
      </c>
      <c r="X62" s="228">
        <f t="shared" si="66"/>
        <v>14</v>
      </c>
      <c r="Y62" s="228">
        <f t="shared" si="66"/>
        <v>14</v>
      </c>
      <c r="Z62" s="228">
        <f t="shared" si="66"/>
        <v>14</v>
      </c>
      <c r="AA62" s="228">
        <f t="shared" si="66"/>
        <v>14</v>
      </c>
      <c r="AB62" s="228">
        <f t="shared" si="66"/>
        <v>14</v>
      </c>
      <c r="AC62" s="228">
        <v>14</v>
      </c>
      <c r="AD62" s="228">
        <v>14</v>
      </c>
      <c r="AE62" s="98"/>
      <c r="AF62" s="228">
        <v>16</v>
      </c>
      <c r="AG62" s="228">
        <f>AF62</f>
        <v>16</v>
      </c>
      <c r="AH62" s="228">
        <f>AG62</f>
        <v>16</v>
      </c>
      <c r="AI62" s="228">
        <f aca="true" t="shared" si="67" ref="AI62:AQ62">AH62</f>
        <v>16</v>
      </c>
      <c r="AJ62" s="228">
        <f t="shared" si="67"/>
        <v>16</v>
      </c>
      <c r="AK62" s="228">
        <f t="shared" si="67"/>
        <v>16</v>
      </c>
      <c r="AL62" s="228">
        <f t="shared" si="67"/>
        <v>16</v>
      </c>
      <c r="AM62" s="228">
        <f t="shared" si="67"/>
        <v>16</v>
      </c>
      <c r="AN62" s="228">
        <f t="shared" si="67"/>
        <v>16</v>
      </c>
      <c r="AO62" s="228">
        <f t="shared" si="67"/>
        <v>16</v>
      </c>
      <c r="AP62" s="228">
        <f t="shared" si="67"/>
        <v>16</v>
      </c>
      <c r="AQ62" s="228">
        <f t="shared" si="67"/>
        <v>16</v>
      </c>
      <c r="AR62" s="98"/>
    </row>
    <row r="63" spans="1:44" ht="16.5" customHeight="1" thickBot="1">
      <c r="A63" s="634" t="s">
        <v>372</v>
      </c>
      <c r="B63" s="99"/>
      <c r="C63" s="99"/>
      <c r="D63" s="220"/>
      <c r="E63" s="377"/>
      <c r="F63" s="223">
        <v>14</v>
      </c>
      <c r="G63" s="228">
        <f>F63</f>
        <v>14</v>
      </c>
      <c r="H63" s="228">
        <f>G63</f>
        <v>14</v>
      </c>
      <c r="I63" s="228">
        <f>H63</f>
        <v>14</v>
      </c>
      <c r="J63" s="228">
        <f aca="true" t="shared" si="68" ref="J63:Q63">I63</f>
        <v>14</v>
      </c>
      <c r="K63" s="228">
        <f t="shared" si="68"/>
        <v>14</v>
      </c>
      <c r="L63" s="228">
        <f t="shared" si="68"/>
        <v>14</v>
      </c>
      <c r="M63" s="228">
        <f t="shared" si="68"/>
        <v>14</v>
      </c>
      <c r="N63" s="228">
        <f t="shared" si="68"/>
        <v>14</v>
      </c>
      <c r="O63" s="228">
        <f t="shared" si="68"/>
        <v>14</v>
      </c>
      <c r="P63" s="228">
        <f t="shared" si="68"/>
        <v>14</v>
      </c>
      <c r="Q63" s="228">
        <f t="shared" si="68"/>
        <v>14</v>
      </c>
      <c r="R63" s="226"/>
      <c r="S63" s="228">
        <v>16</v>
      </c>
      <c r="T63" s="228">
        <f aca="true" t="shared" si="69" ref="T63:AD63">S63</f>
        <v>16</v>
      </c>
      <c r="U63" s="228">
        <f t="shared" si="69"/>
        <v>16</v>
      </c>
      <c r="V63" s="228">
        <f t="shared" si="69"/>
        <v>16</v>
      </c>
      <c r="W63" s="228">
        <f t="shared" si="69"/>
        <v>16</v>
      </c>
      <c r="X63" s="228">
        <f t="shared" si="69"/>
        <v>16</v>
      </c>
      <c r="Y63" s="228">
        <f t="shared" si="69"/>
        <v>16</v>
      </c>
      <c r="Z63" s="228">
        <f t="shared" si="69"/>
        <v>16</v>
      </c>
      <c r="AA63" s="228">
        <f t="shared" si="69"/>
        <v>16</v>
      </c>
      <c r="AB63" s="228">
        <f t="shared" si="69"/>
        <v>16</v>
      </c>
      <c r="AC63" s="228">
        <f t="shared" si="69"/>
        <v>16</v>
      </c>
      <c r="AD63" s="228">
        <f t="shared" si="69"/>
        <v>16</v>
      </c>
      <c r="AE63" s="226"/>
      <c r="AF63" s="228">
        <v>18</v>
      </c>
      <c r="AG63" s="228">
        <f>AF63</f>
        <v>18</v>
      </c>
      <c r="AH63" s="228">
        <f>AG63</f>
        <v>18</v>
      </c>
      <c r="AI63" s="228">
        <f aca="true" t="shared" si="70" ref="AI63:AQ63">AH63</f>
        <v>18</v>
      </c>
      <c r="AJ63" s="228">
        <f t="shared" si="70"/>
        <v>18</v>
      </c>
      <c r="AK63" s="228">
        <f t="shared" si="70"/>
        <v>18</v>
      </c>
      <c r="AL63" s="228">
        <f t="shared" si="70"/>
        <v>18</v>
      </c>
      <c r="AM63" s="228">
        <f t="shared" si="70"/>
        <v>18</v>
      </c>
      <c r="AN63" s="228">
        <f t="shared" si="70"/>
        <v>18</v>
      </c>
      <c r="AO63" s="228">
        <f t="shared" si="70"/>
        <v>18</v>
      </c>
      <c r="AP63" s="228">
        <f t="shared" si="70"/>
        <v>18</v>
      </c>
      <c r="AQ63" s="228">
        <f t="shared" si="70"/>
        <v>18</v>
      </c>
      <c r="AR63" s="226"/>
    </row>
    <row r="64" spans="4:44" ht="16.5" customHeight="1" thickTop="1">
      <c r="D64" s="241" t="s">
        <v>150</v>
      </c>
      <c r="E64" s="241"/>
      <c r="F64" s="583">
        <f aca="true" t="shared" si="71" ref="F64:AD64">SUM(F61:F63)</f>
        <v>44</v>
      </c>
      <c r="G64" s="582">
        <f t="shared" si="71"/>
        <v>44</v>
      </c>
      <c r="H64" s="582">
        <f t="shared" si="71"/>
        <v>44</v>
      </c>
      <c r="I64" s="582">
        <f t="shared" si="71"/>
        <v>44</v>
      </c>
      <c r="J64" s="582">
        <f t="shared" si="71"/>
        <v>44</v>
      </c>
      <c r="K64" s="582">
        <f t="shared" si="71"/>
        <v>44</v>
      </c>
      <c r="L64" s="582">
        <f t="shared" si="71"/>
        <v>44</v>
      </c>
      <c r="M64" s="582">
        <f t="shared" si="71"/>
        <v>44</v>
      </c>
      <c r="N64" s="582">
        <f t="shared" si="71"/>
        <v>44</v>
      </c>
      <c r="O64" s="582">
        <f t="shared" si="71"/>
        <v>44</v>
      </c>
      <c r="P64" s="582">
        <f t="shared" si="71"/>
        <v>44</v>
      </c>
      <c r="Q64" s="582">
        <f t="shared" si="71"/>
        <v>52</v>
      </c>
      <c r="R64" s="98"/>
      <c r="S64" s="589">
        <f t="shared" si="71"/>
        <v>58</v>
      </c>
      <c r="T64" s="589">
        <f t="shared" si="71"/>
        <v>58</v>
      </c>
      <c r="U64" s="589">
        <f t="shared" si="71"/>
        <v>58</v>
      </c>
      <c r="V64" s="589">
        <f t="shared" si="71"/>
        <v>58</v>
      </c>
      <c r="W64" s="589">
        <f t="shared" si="71"/>
        <v>58</v>
      </c>
      <c r="X64" s="589">
        <f t="shared" si="71"/>
        <v>58</v>
      </c>
      <c r="Y64" s="589">
        <f t="shared" si="71"/>
        <v>58</v>
      </c>
      <c r="Z64" s="589">
        <f t="shared" si="71"/>
        <v>58</v>
      </c>
      <c r="AA64" s="589">
        <f t="shared" si="71"/>
        <v>58</v>
      </c>
      <c r="AB64" s="589">
        <f t="shared" si="71"/>
        <v>58</v>
      </c>
      <c r="AC64" s="589">
        <f t="shared" si="71"/>
        <v>58</v>
      </c>
      <c r="AD64" s="589">
        <f t="shared" si="71"/>
        <v>62</v>
      </c>
      <c r="AE64" s="588"/>
      <c r="AF64" s="589">
        <f aca="true" t="shared" si="72" ref="AF64:AQ64">SUM(AF61:AF63)</f>
        <v>66</v>
      </c>
      <c r="AG64" s="589">
        <f t="shared" si="72"/>
        <v>66</v>
      </c>
      <c r="AH64" s="589">
        <f t="shared" si="72"/>
        <v>66</v>
      </c>
      <c r="AI64" s="589">
        <f t="shared" si="72"/>
        <v>66</v>
      </c>
      <c r="AJ64" s="589">
        <f t="shared" si="72"/>
        <v>66</v>
      </c>
      <c r="AK64" s="589">
        <f t="shared" si="72"/>
        <v>66</v>
      </c>
      <c r="AL64" s="589">
        <f t="shared" si="72"/>
        <v>66</v>
      </c>
      <c r="AM64" s="589">
        <f t="shared" si="72"/>
        <v>66</v>
      </c>
      <c r="AN64" s="589">
        <f t="shared" si="72"/>
        <v>66</v>
      </c>
      <c r="AO64" s="589">
        <f t="shared" si="72"/>
        <v>66</v>
      </c>
      <c r="AP64" s="589">
        <f t="shared" si="72"/>
        <v>66</v>
      </c>
      <c r="AQ64" s="589">
        <f t="shared" si="72"/>
        <v>66</v>
      </c>
      <c r="AR64" s="98"/>
    </row>
    <row r="65" spans="1:11" ht="16.5" customHeight="1">
      <c r="A65" s="69"/>
      <c r="B65" s="69"/>
      <c r="C65" s="69"/>
      <c r="D65" s="69"/>
      <c r="E65" s="69"/>
      <c r="F65" s="69"/>
      <c r="G65" s="69"/>
      <c r="H65" s="69"/>
      <c r="I65" s="69"/>
      <c r="J65" s="69"/>
      <c r="K65" s="69"/>
    </row>
    <row r="66" spans="1:11" ht="16.5" customHeight="1">
      <c r="A66" s="243" t="s">
        <v>143</v>
      </c>
      <c r="B66" s="140"/>
      <c r="C66" s="140"/>
      <c r="D66" s="140"/>
      <c r="E66" s="140"/>
      <c r="F66" s="140"/>
      <c r="G66" s="140"/>
      <c r="H66" s="140"/>
      <c r="I66" s="140"/>
      <c r="J66" s="140"/>
      <c r="K66" s="140"/>
    </row>
    <row r="67" spans="1:8" ht="20.25" customHeight="1">
      <c r="A67" s="242" t="s">
        <v>141</v>
      </c>
      <c r="H67" s="243" t="s">
        <v>147</v>
      </c>
    </row>
    <row r="68" spans="1:44" ht="16.5" customHeight="1" thickBot="1">
      <c r="A68" s="633" t="s">
        <v>371</v>
      </c>
      <c r="B68" s="99"/>
      <c r="C68" s="157"/>
      <c r="D68" s="577"/>
      <c r="E68" s="577">
        <v>2</v>
      </c>
      <c r="F68" s="567">
        <f aca="true" t="shared" si="73" ref="F68:Q68">ROUNDUP(+F61/$K12,0)/2</f>
        <v>1.5</v>
      </c>
      <c r="G68" s="568">
        <f t="shared" si="73"/>
        <v>1.5</v>
      </c>
      <c r="H68" s="569">
        <f t="shared" si="73"/>
        <v>1.5</v>
      </c>
      <c r="I68" s="569">
        <f t="shared" si="73"/>
        <v>1.5</v>
      </c>
      <c r="J68" s="569">
        <f t="shared" si="73"/>
        <v>1.5</v>
      </c>
      <c r="K68" s="569">
        <f t="shared" si="73"/>
        <v>1.5</v>
      </c>
      <c r="L68" s="569">
        <f t="shared" si="73"/>
        <v>1.5</v>
      </c>
      <c r="M68" s="569">
        <f t="shared" si="73"/>
        <v>1.5</v>
      </c>
      <c r="N68" s="569">
        <f t="shared" si="73"/>
        <v>1.5</v>
      </c>
      <c r="O68" s="569">
        <f t="shared" si="73"/>
        <v>1.5</v>
      </c>
      <c r="P68" s="569">
        <f t="shared" si="73"/>
        <v>1.5</v>
      </c>
      <c r="Q68" s="569">
        <f t="shared" si="73"/>
        <v>2</v>
      </c>
      <c r="R68" s="225"/>
      <c r="S68" s="569">
        <f aca="true" t="shared" si="74" ref="S68:AD68">ROUNDUP(+S61/$K12,0)/2</f>
        <v>2</v>
      </c>
      <c r="T68" s="569">
        <f t="shared" si="74"/>
        <v>2</v>
      </c>
      <c r="U68" s="569">
        <f t="shared" si="74"/>
        <v>2</v>
      </c>
      <c r="V68" s="569">
        <f t="shared" si="74"/>
        <v>2</v>
      </c>
      <c r="W68" s="569">
        <f t="shared" si="74"/>
        <v>2</v>
      </c>
      <c r="X68" s="569">
        <f t="shared" si="74"/>
        <v>2</v>
      </c>
      <c r="Y68" s="569">
        <f t="shared" si="74"/>
        <v>2</v>
      </c>
      <c r="Z68" s="569">
        <f t="shared" si="74"/>
        <v>2</v>
      </c>
      <c r="AA68" s="569">
        <f t="shared" si="74"/>
        <v>2</v>
      </c>
      <c r="AB68" s="569">
        <f t="shared" si="74"/>
        <v>2</v>
      </c>
      <c r="AC68" s="569">
        <f t="shared" si="74"/>
        <v>2</v>
      </c>
      <c r="AD68" s="569">
        <f t="shared" si="74"/>
        <v>2</v>
      </c>
      <c r="AE68" s="99"/>
      <c r="AF68" s="569">
        <f aca="true" t="shared" si="75" ref="AF68:AQ68">ROUNDUP(+AF61/$K12,0)/2</f>
        <v>2</v>
      </c>
      <c r="AG68" s="569">
        <f t="shared" si="75"/>
        <v>2</v>
      </c>
      <c r="AH68" s="569">
        <f t="shared" si="75"/>
        <v>2</v>
      </c>
      <c r="AI68" s="569">
        <f t="shared" si="75"/>
        <v>2</v>
      </c>
      <c r="AJ68" s="569">
        <f t="shared" si="75"/>
        <v>2</v>
      </c>
      <c r="AK68" s="569">
        <f t="shared" si="75"/>
        <v>2</v>
      </c>
      <c r="AL68" s="569">
        <f t="shared" si="75"/>
        <v>2</v>
      </c>
      <c r="AM68" s="569">
        <f t="shared" si="75"/>
        <v>2</v>
      </c>
      <c r="AN68" s="569">
        <f t="shared" si="75"/>
        <v>2</v>
      </c>
      <c r="AO68" s="569">
        <f t="shared" si="75"/>
        <v>2</v>
      </c>
      <c r="AP68" s="569">
        <f t="shared" si="75"/>
        <v>2</v>
      </c>
      <c r="AQ68" s="569">
        <f t="shared" si="75"/>
        <v>2</v>
      </c>
      <c r="AR68" s="99"/>
    </row>
    <row r="69" spans="1:44" ht="16.5" customHeight="1" thickBot="1">
      <c r="A69" s="131" t="s">
        <v>20</v>
      </c>
      <c r="B69" s="99"/>
      <c r="C69" s="157"/>
      <c r="D69" s="577"/>
      <c r="E69" s="577">
        <v>0</v>
      </c>
      <c r="F69" s="571">
        <f>IF(AND(F61+F62&lt;=(F68+0.5)*$K12,F68&gt;0),ROUNDUP((F61+F62)/$K12,0)/2-F68,ROUNDUP((F62/$K13),0)/2)</f>
        <v>0.5</v>
      </c>
      <c r="G69" s="572">
        <f>IF(AND(G61+G62&lt;(G68+0.5)*$K12,G68&gt;0),ROUNDUP(((+G61+G62)/$K12)/2,1)-G68,ROUNDUP(G62/$K13,0)/2)</f>
        <v>0.5</v>
      </c>
      <c r="H69" s="573">
        <f aca="true" t="shared" si="76" ref="H69:Q69">IF(AND(H61+H62&lt;=(H68+0.5)*$K12,H68&gt;0),ROUNDUP((H61+H62)/$K12,0)/2-H68,ROUNDUP((H62/$K13),0)/2)</f>
        <v>0.5</v>
      </c>
      <c r="I69" s="573">
        <f t="shared" si="76"/>
        <v>0.5</v>
      </c>
      <c r="J69" s="573">
        <f t="shared" si="76"/>
        <v>0.5</v>
      </c>
      <c r="K69" s="573">
        <f t="shared" si="76"/>
        <v>0.5</v>
      </c>
      <c r="L69" s="573">
        <f t="shared" si="76"/>
        <v>0.5</v>
      </c>
      <c r="M69" s="573">
        <f t="shared" si="76"/>
        <v>0.5</v>
      </c>
      <c r="N69" s="573">
        <f t="shared" si="76"/>
        <v>0.5</v>
      </c>
      <c r="O69" s="573">
        <f t="shared" si="76"/>
        <v>0.5</v>
      </c>
      <c r="P69" s="573">
        <f t="shared" si="76"/>
        <v>0.5</v>
      </c>
      <c r="Q69" s="573">
        <f t="shared" si="76"/>
        <v>0.5</v>
      </c>
      <c r="R69" s="98"/>
      <c r="S69" s="573">
        <f aca="true" t="shared" si="77" ref="S69:AD69">IF(AND(S61+S62&lt;=(S68+0.5)*$K12,S68&gt;0),ROUNDUP((S61+S62)/$K12,0)/2-S68,ROUNDUP((S62/$K13),0)/2)</f>
        <v>1</v>
      </c>
      <c r="T69" s="573">
        <f t="shared" si="77"/>
        <v>1</v>
      </c>
      <c r="U69" s="573">
        <f t="shared" si="77"/>
        <v>1</v>
      </c>
      <c r="V69" s="573">
        <f t="shared" si="77"/>
        <v>1</v>
      </c>
      <c r="W69" s="573">
        <f t="shared" si="77"/>
        <v>1</v>
      </c>
      <c r="X69" s="573">
        <f t="shared" si="77"/>
        <v>1</v>
      </c>
      <c r="Y69" s="573">
        <f t="shared" si="77"/>
        <v>1</v>
      </c>
      <c r="Z69" s="573">
        <f t="shared" si="77"/>
        <v>1</v>
      </c>
      <c r="AA69" s="573">
        <f t="shared" si="77"/>
        <v>1</v>
      </c>
      <c r="AB69" s="573">
        <f t="shared" si="77"/>
        <v>1</v>
      </c>
      <c r="AC69" s="573">
        <f t="shared" si="77"/>
        <v>1</v>
      </c>
      <c r="AD69" s="573">
        <f t="shared" si="77"/>
        <v>1</v>
      </c>
      <c r="AE69" s="197"/>
      <c r="AF69" s="573">
        <f aca="true" t="shared" si="78" ref="AF69:AQ69">IF(AND(AF61+AF62&lt;=(AF68+0.5)*$K12,AF68&gt;0),ROUNDUP((AF61+AF62)/$K12,0)/2-AF68,ROUNDUP((AF62/$K13),0)/2)</f>
        <v>1</v>
      </c>
      <c r="AG69" s="573">
        <f t="shared" si="78"/>
        <v>1</v>
      </c>
      <c r="AH69" s="573">
        <f t="shared" si="78"/>
        <v>1</v>
      </c>
      <c r="AI69" s="573">
        <f t="shared" si="78"/>
        <v>1</v>
      </c>
      <c r="AJ69" s="573">
        <f t="shared" si="78"/>
        <v>1</v>
      </c>
      <c r="AK69" s="573">
        <f t="shared" si="78"/>
        <v>1</v>
      </c>
      <c r="AL69" s="573">
        <f t="shared" si="78"/>
        <v>1</v>
      </c>
      <c r="AM69" s="573">
        <f t="shared" si="78"/>
        <v>1</v>
      </c>
      <c r="AN69" s="573">
        <f t="shared" si="78"/>
        <v>1</v>
      </c>
      <c r="AO69" s="573">
        <f t="shared" si="78"/>
        <v>1</v>
      </c>
      <c r="AP69" s="573">
        <f t="shared" si="78"/>
        <v>1</v>
      </c>
      <c r="AQ69" s="573">
        <f t="shared" si="78"/>
        <v>1</v>
      </c>
      <c r="AR69" s="197"/>
    </row>
    <row r="70" spans="1:45" s="604" customFormat="1" ht="16.5" customHeight="1" thickBot="1">
      <c r="A70" s="634" t="s">
        <v>372</v>
      </c>
      <c r="B70" s="597"/>
      <c r="C70" s="597"/>
      <c r="D70" s="598"/>
      <c r="E70" s="598">
        <v>0</v>
      </c>
      <c r="F70" s="599">
        <f aca="true" t="shared" si="79" ref="F70:Q70">ROUNDUP(+F63/$K14,0)/2</f>
        <v>0.5</v>
      </c>
      <c r="G70" s="600">
        <f t="shared" si="79"/>
        <v>0.5</v>
      </c>
      <c r="H70" s="601">
        <f t="shared" si="79"/>
        <v>0.5</v>
      </c>
      <c r="I70" s="601">
        <f t="shared" si="79"/>
        <v>0.5</v>
      </c>
      <c r="J70" s="601">
        <f t="shared" si="79"/>
        <v>0.5</v>
      </c>
      <c r="K70" s="601">
        <f t="shared" si="79"/>
        <v>0.5</v>
      </c>
      <c r="L70" s="601">
        <f t="shared" si="79"/>
        <v>0.5</v>
      </c>
      <c r="M70" s="601">
        <f t="shared" si="79"/>
        <v>0.5</v>
      </c>
      <c r="N70" s="601">
        <f t="shared" si="79"/>
        <v>0.5</v>
      </c>
      <c r="O70" s="601">
        <f t="shared" si="79"/>
        <v>0.5</v>
      </c>
      <c r="P70" s="601">
        <f t="shared" si="79"/>
        <v>0.5</v>
      </c>
      <c r="Q70" s="601">
        <f t="shared" si="79"/>
        <v>0.5</v>
      </c>
      <c r="R70" s="602"/>
      <c r="S70" s="601">
        <f aca="true" t="shared" si="80" ref="S70:AD70">ROUNDUP(+S63/$K14,0)/2</f>
        <v>0.5</v>
      </c>
      <c r="T70" s="601">
        <f t="shared" si="80"/>
        <v>0.5</v>
      </c>
      <c r="U70" s="601">
        <f t="shared" si="80"/>
        <v>0.5</v>
      </c>
      <c r="V70" s="601">
        <f t="shared" si="80"/>
        <v>0.5</v>
      </c>
      <c r="W70" s="601">
        <f t="shared" si="80"/>
        <v>0.5</v>
      </c>
      <c r="X70" s="601">
        <f t="shared" si="80"/>
        <v>0.5</v>
      </c>
      <c r="Y70" s="601">
        <f t="shared" si="80"/>
        <v>0.5</v>
      </c>
      <c r="Z70" s="601">
        <f t="shared" si="80"/>
        <v>0.5</v>
      </c>
      <c r="AA70" s="601">
        <f t="shared" si="80"/>
        <v>0.5</v>
      </c>
      <c r="AB70" s="601">
        <f t="shared" si="80"/>
        <v>0.5</v>
      </c>
      <c r="AC70" s="601">
        <f t="shared" si="80"/>
        <v>0.5</v>
      </c>
      <c r="AD70" s="601">
        <f t="shared" si="80"/>
        <v>0.5</v>
      </c>
      <c r="AE70" s="597"/>
      <c r="AF70" s="601">
        <f aca="true" t="shared" si="81" ref="AF70:AQ70">ROUNDUP(+AF63/$K14,0)/2</f>
        <v>1</v>
      </c>
      <c r="AG70" s="601">
        <f t="shared" si="81"/>
        <v>1</v>
      </c>
      <c r="AH70" s="601">
        <f t="shared" si="81"/>
        <v>1</v>
      </c>
      <c r="AI70" s="601">
        <f t="shared" si="81"/>
        <v>1</v>
      </c>
      <c r="AJ70" s="601">
        <f t="shared" si="81"/>
        <v>1</v>
      </c>
      <c r="AK70" s="601">
        <f t="shared" si="81"/>
        <v>1</v>
      </c>
      <c r="AL70" s="601">
        <f t="shared" si="81"/>
        <v>1</v>
      </c>
      <c r="AM70" s="601">
        <f t="shared" si="81"/>
        <v>1</v>
      </c>
      <c r="AN70" s="601">
        <f t="shared" si="81"/>
        <v>1</v>
      </c>
      <c r="AO70" s="601">
        <f t="shared" si="81"/>
        <v>1</v>
      </c>
      <c r="AP70" s="601">
        <f t="shared" si="81"/>
        <v>1</v>
      </c>
      <c r="AQ70" s="601">
        <f t="shared" si="81"/>
        <v>1</v>
      </c>
      <c r="AR70" s="597"/>
      <c r="AS70" s="603"/>
    </row>
    <row r="71" spans="1:45" s="103" customFormat="1" ht="16.5" customHeight="1" thickTop="1">
      <c r="A71" s="96"/>
      <c r="B71" s="80"/>
      <c r="C71" s="566" t="s">
        <v>105</v>
      </c>
      <c r="D71" s="592">
        <f>SUM(E68:E70)</f>
        <v>2</v>
      </c>
      <c r="E71" s="593">
        <f>SUM(F68:F70)</f>
        <v>2.5</v>
      </c>
      <c r="F71" s="594">
        <f>SUM(F68:F70)</f>
        <v>2.5</v>
      </c>
      <c r="G71" s="592">
        <f>SUM(G68:G70)</f>
        <v>2.5</v>
      </c>
      <c r="H71" s="592">
        <f>SUM(H68:H70)</f>
        <v>2.5</v>
      </c>
      <c r="I71" s="592">
        <f aca="true" t="shared" si="82" ref="I71:Q71">SUM(I68:I70)</f>
        <v>2.5</v>
      </c>
      <c r="J71" s="592">
        <f t="shared" si="82"/>
        <v>2.5</v>
      </c>
      <c r="K71" s="592">
        <f t="shared" si="82"/>
        <v>2.5</v>
      </c>
      <c r="L71" s="592">
        <f t="shared" si="82"/>
        <v>2.5</v>
      </c>
      <c r="M71" s="592">
        <f t="shared" si="82"/>
        <v>2.5</v>
      </c>
      <c r="N71" s="592">
        <f t="shared" si="82"/>
        <v>2.5</v>
      </c>
      <c r="O71" s="592">
        <f t="shared" si="82"/>
        <v>2.5</v>
      </c>
      <c r="P71" s="592">
        <f t="shared" si="82"/>
        <v>2.5</v>
      </c>
      <c r="Q71" s="592">
        <f t="shared" si="82"/>
        <v>3</v>
      </c>
      <c r="R71" s="595"/>
      <c r="S71" s="592">
        <f aca="true" t="shared" si="83" ref="S71:AD71">SUM(S68:S70)</f>
        <v>3.5</v>
      </c>
      <c r="T71" s="592">
        <f t="shared" si="83"/>
        <v>3.5</v>
      </c>
      <c r="U71" s="592">
        <f t="shared" si="83"/>
        <v>3.5</v>
      </c>
      <c r="V71" s="592">
        <f t="shared" si="83"/>
        <v>3.5</v>
      </c>
      <c r="W71" s="592">
        <f t="shared" si="83"/>
        <v>3.5</v>
      </c>
      <c r="X71" s="592">
        <f t="shared" si="83"/>
        <v>3.5</v>
      </c>
      <c r="Y71" s="592">
        <f t="shared" si="83"/>
        <v>3.5</v>
      </c>
      <c r="Z71" s="592">
        <f t="shared" si="83"/>
        <v>3.5</v>
      </c>
      <c r="AA71" s="592">
        <f t="shared" si="83"/>
        <v>3.5</v>
      </c>
      <c r="AB71" s="592">
        <f t="shared" si="83"/>
        <v>3.5</v>
      </c>
      <c r="AC71" s="592">
        <f t="shared" si="83"/>
        <v>3.5</v>
      </c>
      <c r="AD71" s="592">
        <f t="shared" si="83"/>
        <v>3.5</v>
      </c>
      <c r="AE71" s="596"/>
      <c r="AF71" s="592">
        <f aca="true" t="shared" si="84" ref="AF71:AQ71">SUM(AF68:AF70)</f>
        <v>4</v>
      </c>
      <c r="AG71" s="592">
        <f t="shared" si="84"/>
        <v>4</v>
      </c>
      <c r="AH71" s="592">
        <f t="shared" si="84"/>
        <v>4</v>
      </c>
      <c r="AI71" s="592">
        <f t="shared" si="84"/>
        <v>4</v>
      </c>
      <c r="AJ71" s="592">
        <f t="shared" si="84"/>
        <v>4</v>
      </c>
      <c r="AK71" s="592">
        <f t="shared" si="84"/>
        <v>4</v>
      </c>
      <c r="AL71" s="592">
        <f t="shared" si="84"/>
        <v>4</v>
      </c>
      <c r="AM71" s="592">
        <f t="shared" si="84"/>
        <v>4</v>
      </c>
      <c r="AN71" s="592">
        <f t="shared" si="84"/>
        <v>4</v>
      </c>
      <c r="AO71" s="592">
        <f t="shared" si="84"/>
        <v>4</v>
      </c>
      <c r="AP71" s="592">
        <f t="shared" si="84"/>
        <v>4</v>
      </c>
      <c r="AQ71" s="592">
        <f t="shared" si="84"/>
        <v>4</v>
      </c>
      <c r="AR71" s="226"/>
      <c r="AS71" s="321"/>
    </row>
    <row r="72" ht="18" customHeight="1"/>
    <row r="73" spans="1:48" ht="19.5" customHeight="1">
      <c r="A73" s="319" t="s">
        <v>205</v>
      </c>
      <c r="B73" s="138"/>
      <c r="C73" s="138"/>
      <c r="D73" s="138"/>
      <c r="E73" s="138"/>
      <c r="F73" s="138"/>
      <c r="G73" s="138"/>
      <c r="H73" s="138"/>
      <c r="I73" s="138"/>
      <c r="J73" s="138"/>
      <c r="K73" s="138"/>
      <c r="L73" s="138"/>
      <c r="M73" s="138"/>
      <c r="N73" s="138"/>
      <c r="O73" s="138"/>
      <c r="P73" s="138"/>
      <c r="Q73" s="138"/>
      <c r="R73" s="138"/>
      <c r="AT73" s="320"/>
      <c r="AU73" s="320"/>
      <c r="AV73" s="320"/>
    </row>
    <row r="74" spans="1:48" ht="18" customHeight="1">
      <c r="A74" s="140" t="s">
        <v>206</v>
      </c>
      <c r="B74" s="140"/>
      <c r="C74" s="140"/>
      <c r="D74" s="140"/>
      <c r="E74" s="140"/>
      <c r="F74" s="321"/>
      <c r="G74" s="321"/>
      <c r="H74" s="321"/>
      <c r="I74" s="321"/>
      <c r="J74" s="321"/>
      <c r="K74" s="96"/>
      <c r="L74" s="96"/>
      <c r="M74" s="96"/>
      <c r="N74" s="96"/>
      <c r="O74" s="96"/>
      <c r="P74" s="96"/>
      <c r="Q74" s="102"/>
      <c r="AT74" s="320"/>
      <c r="AU74" s="320"/>
      <c r="AV74" s="320"/>
    </row>
    <row r="75" spans="1:48" ht="16.5" customHeight="1">
      <c r="A75" s="322" t="s">
        <v>203</v>
      </c>
      <c r="B75" s="323"/>
      <c r="C75" s="220"/>
      <c r="D75" s="154"/>
      <c r="E75" s="154">
        <v>0</v>
      </c>
      <c r="F75" s="223">
        <v>0</v>
      </c>
      <c r="G75" s="229">
        <v>0</v>
      </c>
      <c r="H75" s="229">
        <v>0</v>
      </c>
      <c r="I75" s="229">
        <v>0</v>
      </c>
      <c r="J75" s="229">
        <v>0</v>
      </c>
      <c r="K75" s="229">
        <v>0</v>
      </c>
      <c r="L75" s="229">
        <v>0</v>
      </c>
      <c r="M75" s="229">
        <v>0</v>
      </c>
      <c r="N75" s="229">
        <v>0</v>
      </c>
      <c r="O75" s="229">
        <v>0</v>
      </c>
      <c r="P75" s="229">
        <v>0</v>
      </c>
      <c r="Q75" s="229">
        <v>0</v>
      </c>
      <c r="R75" s="197"/>
      <c r="S75" s="229">
        <v>0</v>
      </c>
      <c r="T75" s="229">
        <v>0</v>
      </c>
      <c r="U75" s="229">
        <v>0</v>
      </c>
      <c r="V75" s="229">
        <v>0</v>
      </c>
      <c r="W75" s="229">
        <v>0</v>
      </c>
      <c r="X75" s="229">
        <v>0</v>
      </c>
      <c r="Y75" s="229">
        <v>0</v>
      </c>
      <c r="Z75" s="229">
        <v>0</v>
      </c>
      <c r="AA75" s="229">
        <v>0</v>
      </c>
      <c r="AB75" s="229">
        <v>0</v>
      </c>
      <c r="AC75" s="229">
        <v>0</v>
      </c>
      <c r="AD75" s="229">
        <v>0</v>
      </c>
      <c r="AE75" s="197"/>
      <c r="AF75" s="229">
        <v>0</v>
      </c>
      <c r="AG75" s="229">
        <v>0</v>
      </c>
      <c r="AH75" s="229">
        <v>0</v>
      </c>
      <c r="AI75" s="229">
        <v>0</v>
      </c>
      <c r="AJ75" s="229">
        <v>0</v>
      </c>
      <c r="AK75" s="229">
        <v>0</v>
      </c>
      <c r="AL75" s="229">
        <v>0</v>
      </c>
      <c r="AM75" s="229">
        <v>0</v>
      </c>
      <c r="AN75" s="229">
        <v>0</v>
      </c>
      <c r="AO75" s="229">
        <v>0</v>
      </c>
      <c r="AP75" s="229">
        <v>0</v>
      </c>
      <c r="AQ75" s="229">
        <v>0</v>
      </c>
      <c r="AR75" s="197"/>
      <c r="AS75" s="203" t="str">
        <f>A75</f>
        <v>Before/After Sch. ONLY</v>
      </c>
      <c r="AT75" s="320"/>
      <c r="AU75" s="320"/>
      <c r="AV75" s="320"/>
    </row>
    <row r="76" spans="1:48" ht="16.5" customHeight="1">
      <c r="A76" s="322" t="s">
        <v>204</v>
      </c>
      <c r="B76" s="323"/>
      <c r="C76" s="220"/>
      <c r="D76" s="154">
        <v>40</v>
      </c>
      <c r="E76" s="154">
        <v>40</v>
      </c>
      <c r="F76" s="223">
        <v>40</v>
      </c>
      <c r="G76" s="229">
        <v>40</v>
      </c>
      <c r="H76" s="229">
        <v>40</v>
      </c>
      <c r="I76" s="229">
        <v>40</v>
      </c>
      <c r="J76" s="229">
        <v>40</v>
      </c>
      <c r="K76" s="229">
        <v>40</v>
      </c>
      <c r="L76" s="229">
        <v>40</v>
      </c>
      <c r="M76" s="229">
        <v>40</v>
      </c>
      <c r="N76" s="229">
        <v>0</v>
      </c>
      <c r="O76" s="229">
        <v>0</v>
      </c>
      <c r="P76" s="229">
        <v>0</v>
      </c>
      <c r="Q76" s="229">
        <v>40</v>
      </c>
      <c r="R76" s="99"/>
      <c r="S76" s="229">
        <v>50</v>
      </c>
      <c r="T76" s="635">
        <v>50</v>
      </c>
      <c r="U76" s="635">
        <v>50</v>
      </c>
      <c r="V76" s="635">
        <v>50</v>
      </c>
      <c r="W76" s="635">
        <v>50</v>
      </c>
      <c r="X76" s="635">
        <v>50</v>
      </c>
      <c r="Y76" s="635">
        <v>50</v>
      </c>
      <c r="Z76" s="635">
        <v>50</v>
      </c>
      <c r="AA76" s="229">
        <v>0</v>
      </c>
      <c r="AB76" s="229">
        <v>0</v>
      </c>
      <c r="AC76" s="229">
        <v>0</v>
      </c>
      <c r="AD76" s="229">
        <v>50</v>
      </c>
      <c r="AE76" s="99"/>
      <c r="AF76" s="229">
        <v>50</v>
      </c>
      <c r="AG76" s="635">
        <v>50</v>
      </c>
      <c r="AH76" s="635">
        <v>50</v>
      </c>
      <c r="AI76" s="635">
        <v>50</v>
      </c>
      <c r="AJ76" s="635">
        <v>50</v>
      </c>
      <c r="AK76" s="635">
        <v>50</v>
      </c>
      <c r="AL76" s="635">
        <v>50</v>
      </c>
      <c r="AM76" s="635">
        <v>50</v>
      </c>
      <c r="AN76" s="229">
        <v>0</v>
      </c>
      <c r="AO76" s="229">
        <v>0</v>
      </c>
      <c r="AP76" s="229">
        <v>0</v>
      </c>
      <c r="AQ76" s="229">
        <v>50</v>
      </c>
      <c r="AR76" s="99"/>
      <c r="AS76" s="203" t="str">
        <f>A76</f>
        <v>Both</v>
      </c>
      <c r="AT76" s="320"/>
      <c r="AU76" s="320"/>
      <c r="AV76" s="320"/>
    </row>
    <row r="77" spans="2:45" ht="16.5" customHeight="1">
      <c r="B77" s="80"/>
      <c r="C77" s="566" t="s">
        <v>207</v>
      </c>
      <c r="D77" s="589">
        <f>SUM(D75:D76)</f>
        <v>40</v>
      </c>
      <c r="E77" s="590">
        <f aca="true" t="shared" si="85" ref="E77:AD77">SUM(E75:E76)</f>
        <v>40</v>
      </c>
      <c r="F77" s="591">
        <f>SUM(F75:F76)</f>
        <v>40</v>
      </c>
      <c r="G77" s="589">
        <f t="shared" si="85"/>
        <v>40</v>
      </c>
      <c r="H77" s="589">
        <f t="shared" si="85"/>
        <v>40</v>
      </c>
      <c r="I77" s="589">
        <f t="shared" si="85"/>
        <v>40</v>
      </c>
      <c r="J77" s="589">
        <f t="shared" si="85"/>
        <v>40</v>
      </c>
      <c r="K77" s="589">
        <f t="shared" si="85"/>
        <v>40</v>
      </c>
      <c r="L77" s="589">
        <f t="shared" si="85"/>
        <v>40</v>
      </c>
      <c r="M77" s="589">
        <f t="shared" si="85"/>
        <v>40</v>
      </c>
      <c r="N77" s="589">
        <f t="shared" si="85"/>
        <v>0</v>
      </c>
      <c r="O77" s="589">
        <f t="shared" si="85"/>
        <v>0</v>
      </c>
      <c r="P77" s="589">
        <f t="shared" si="85"/>
        <v>0</v>
      </c>
      <c r="Q77" s="589">
        <f t="shared" si="85"/>
        <v>40</v>
      </c>
      <c r="R77" s="587"/>
      <c r="S77" s="589">
        <f t="shared" si="85"/>
        <v>50</v>
      </c>
      <c r="T77" s="589">
        <f t="shared" si="85"/>
        <v>50</v>
      </c>
      <c r="U77" s="589">
        <f t="shared" si="85"/>
        <v>50</v>
      </c>
      <c r="V77" s="589">
        <f t="shared" si="85"/>
        <v>50</v>
      </c>
      <c r="W77" s="589">
        <f t="shared" si="85"/>
        <v>50</v>
      </c>
      <c r="X77" s="589">
        <f t="shared" si="85"/>
        <v>50</v>
      </c>
      <c r="Y77" s="589">
        <f t="shared" si="85"/>
        <v>50</v>
      </c>
      <c r="Z77" s="589">
        <f t="shared" si="85"/>
        <v>50</v>
      </c>
      <c r="AA77" s="589">
        <f t="shared" si="85"/>
        <v>0</v>
      </c>
      <c r="AB77" s="589">
        <f t="shared" si="85"/>
        <v>0</v>
      </c>
      <c r="AC77" s="589">
        <f t="shared" si="85"/>
        <v>0</v>
      </c>
      <c r="AD77" s="589">
        <f t="shared" si="85"/>
        <v>50</v>
      </c>
      <c r="AE77" s="588"/>
      <c r="AF77" s="589">
        <f aca="true" t="shared" si="86" ref="AF77:AQ77">SUM(AF75:AF76)</f>
        <v>50</v>
      </c>
      <c r="AG77" s="589">
        <f t="shared" si="86"/>
        <v>50</v>
      </c>
      <c r="AH77" s="589">
        <f t="shared" si="86"/>
        <v>50</v>
      </c>
      <c r="AI77" s="589">
        <f t="shared" si="86"/>
        <v>50</v>
      </c>
      <c r="AJ77" s="589">
        <f t="shared" si="86"/>
        <v>50</v>
      </c>
      <c r="AK77" s="589">
        <f t="shared" si="86"/>
        <v>50</v>
      </c>
      <c r="AL77" s="589">
        <f t="shared" si="86"/>
        <v>50</v>
      </c>
      <c r="AM77" s="589">
        <f t="shared" si="86"/>
        <v>50</v>
      </c>
      <c r="AN77" s="589">
        <f t="shared" si="86"/>
        <v>0</v>
      </c>
      <c r="AO77" s="589">
        <f t="shared" si="86"/>
        <v>0</v>
      </c>
      <c r="AP77" s="589">
        <f t="shared" si="86"/>
        <v>0</v>
      </c>
      <c r="AQ77" s="589">
        <f t="shared" si="86"/>
        <v>50</v>
      </c>
      <c r="AR77" s="99"/>
      <c r="AS77" s="86" t="s">
        <v>208</v>
      </c>
    </row>
    <row r="78" spans="1:48" ht="18" customHeight="1">
      <c r="A78" s="324"/>
      <c r="F78" s="321"/>
      <c r="G78" s="321"/>
      <c r="H78" s="321"/>
      <c r="I78" s="321"/>
      <c r="J78" s="321"/>
      <c r="K78" s="96"/>
      <c r="L78" s="96"/>
      <c r="M78" s="96"/>
      <c r="N78" s="96"/>
      <c r="O78" s="96"/>
      <c r="P78" s="96"/>
      <c r="Q78" s="96"/>
      <c r="AT78" s="320"/>
      <c r="AU78" s="320"/>
      <c r="AV78" s="320"/>
    </row>
    <row r="79" spans="1:48" ht="16.5" customHeight="1">
      <c r="A79" s="325" t="s">
        <v>209</v>
      </c>
      <c r="B79" s="140"/>
      <c r="C79" s="140"/>
      <c r="D79" s="140"/>
      <c r="E79" s="140"/>
      <c r="F79" s="140"/>
      <c r="G79" s="140"/>
      <c r="H79" s="140"/>
      <c r="I79" s="140"/>
      <c r="J79" s="140"/>
      <c r="K79" s="140"/>
      <c r="X79" s="203"/>
      <c r="AK79" s="203"/>
      <c r="AT79" s="320"/>
      <c r="AU79" s="320"/>
      <c r="AV79" s="320"/>
    </row>
    <row r="80" spans="1:48" ht="20.25" customHeight="1" thickBot="1">
      <c r="A80" s="324" t="s">
        <v>141</v>
      </c>
      <c r="H80" s="97"/>
      <c r="AS80" s="326" t="str">
        <f>A79</f>
        <v>Classroom Staff Needed on Site, based on Projected Enrollment - "Extended Care" above.</v>
      </c>
      <c r="AT80" s="320"/>
      <c r="AU80" s="320"/>
      <c r="AV80" s="320"/>
    </row>
    <row r="81" spans="2:48" s="330" customFormat="1" ht="16.5" customHeight="1" thickTop="1">
      <c r="B81" s="274"/>
      <c r="C81" s="331" t="s">
        <v>210</v>
      </c>
      <c r="D81" s="332"/>
      <c r="E81" s="578">
        <v>2</v>
      </c>
      <c r="F81" s="579">
        <f>ROUNDUP(F77/17,0)</f>
        <v>3</v>
      </c>
      <c r="G81" s="580">
        <f>ROUNDUP(G77/17,0)</f>
        <v>3</v>
      </c>
      <c r="H81" s="580">
        <f>ROUNDUP(H77/17,0)</f>
        <v>3</v>
      </c>
      <c r="I81" s="580">
        <f aca="true" t="shared" si="87" ref="I81:Q81">ROUNDUP(I77/17,0)</f>
        <v>3</v>
      </c>
      <c r="J81" s="580">
        <f t="shared" si="87"/>
        <v>3</v>
      </c>
      <c r="K81" s="580">
        <f t="shared" si="87"/>
        <v>3</v>
      </c>
      <c r="L81" s="580">
        <f t="shared" si="87"/>
        <v>3</v>
      </c>
      <c r="M81" s="580">
        <f t="shared" si="87"/>
        <v>3</v>
      </c>
      <c r="N81" s="580">
        <f t="shared" si="87"/>
        <v>0</v>
      </c>
      <c r="O81" s="580">
        <f t="shared" si="87"/>
        <v>0</v>
      </c>
      <c r="P81" s="580">
        <f t="shared" si="87"/>
        <v>0</v>
      </c>
      <c r="Q81" s="580">
        <f t="shared" si="87"/>
        <v>3</v>
      </c>
      <c r="R81" s="328"/>
      <c r="S81" s="581">
        <f aca="true" t="shared" si="88" ref="S81:AD81">ROUNDUP(S77/17,0)</f>
        <v>3</v>
      </c>
      <c r="T81" s="581">
        <f t="shared" si="88"/>
        <v>3</v>
      </c>
      <c r="U81" s="581">
        <f t="shared" si="88"/>
        <v>3</v>
      </c>
      <c r="V81" s="581">
        <f t="shared" si="88"/>
        <v>3</v>
      </c>
      <c r="W81" s="581">
        <f t="shared" si="88"/>
        <v>3</v>
      </c>
      <c r="X81" s="581">
        <f t="shared" si="88"/>
        <v>3</v>
      </c>
      <c r="Y81" s="581">
        <f t="shared" si="88"/>
        <v>3</v>
      </c>
      <c r="Z81" s="581">
        <f t="shared" si="88"/>
        <v>3</v>
      </c>
      <c r="AA81" s="581">
        <f t="shared" si="88"/>
        <v>0</v>
      </c>
      <c r="AB81" s="581">
        <f t="shared" si="88"/>
        <v>0</v>
      </c>
      <c r="AC81" s="581">
        <f t="shared" si="88"/>
        <v>0</v>
      </c>
      <c r="AD81" s="581">
        <f t="shared" si="88"/>
        <v>3</v>
      </c>
      <c r="AE81" s="328"/>
      <c r="AF81" s="581">
        <f aca="true" t="shared" si="89" ref="AF81:AQ81">ROUNDUP(AF77/17,0)</f>
        <v>3</v>
      </c>
      <c r="AG81" s="581">
        <f t="shared" si="89"/>
        <v>3</v>
      </c>
      <c r="AH81" s="581">
        <f t="shared" si="89"/>
        <v>3</v>
      </c>
      <c r="AI81" s="581">
        <f t="shared" si="89"/>
        <v>3</v>
      </c>
      <c r="AJ81" s="581">
        <f t="shared" si="89"/>
        <v>3</v>
      </c>
      <c r="AK81" s="581">
        <f t="shared" si="89"/>
        <v>3</v>
      </c>
      <c r="AL81" s="581">
        <f t="shared" si="89"/>
        <v>3</v>
      </c>
      <c r="AM81" s="581">
        <f t="shared" si="89"/>
        <v>3</v>
      </c>
      <c r="AN81" s="581">
        <f t="shared" si="89"/>
        <v>0</v>
      </c>
      <c r="AO81" s="581">
        <f t="shared" si="89"/>
        <v>0</v>
      </c>
      <c r="AP81" s="581">
        <f t="shared" si="89"/>
        <v>0</v>
      </c>
      <c r="AQ81" s="581">
        <f t="shared" si="89"/>
        <v>3</v>
      </c>
      <c r="AR81" s="328"/>
      <c r="AS81" s="289" t="str">
        <f>C81</f>
        <v>Tot. Extended Care Staff</v>
      </c>
      <c r="AT81" s="329"/>
      <c r="AU81" s="329"/>
      <c r="AV81" s="329"/>
    </row>
    <row r="82" spans="1:48" ht="18" customHeight="1">
      <c r="A82" s="324"/>
      <c r="F82" s="321"/>
      <c r="G82" s="321"/>
      <c r="H82" s="321"/>
      <c r="I82" s="321"/>
      <c r="J82" s="321"/>
      <c r="K82" s="96"/>
      <c r="L82" s="96"/>
      <c r="M82" s="96"/>
      <c r="N82" s="96"/>
      <c r="O82" s="96"/>
      <c r="P82" s="96"/>
      <c r="Q82" s="96"/>
      <c r="AT82" s="320"/>
      <c r="AU82" s="320"/>
      <c r="AV82" s="320"/>
    </row>
    <row r="83" spans="1:48" ht="19.5" customHeight="1">
      <c r="A83" s="327" t="s">
        <v>211</v>
      </c>
      <c r="B83" s="319"/>
      <c r="C83" s="319"/>
      <c r="D83" s="319"/>
      <c r="E83" s="319"/>
      <c r="F83" s="319"/>
      <c r="G83" s="319"/>
      <c r="H83" s="319"/>
      <c r="I83" s="319"/>
      <c r="J83" s="319"/>
      <c r="K83" s="319"/>
      <c r="L83" s="319"/>
      <c r="M83" s="319"/>
      <c r="N83" s="319"/>
      <c r="O83" s="319"/>
      <c r="P83" s="319"/>
      <c r="Q83" s="319"/>
      <c r="R83" s="319"/>
      <c r="AT83" s="320"/>
      <c r="AU83" s="320"/>
      <c r="AV83" s="320"/>
    </row>
    <row r="84" spans="2:44" ht="16.5" customHeight="1">
      <c r="B84" s="80"/>
      <c r="C84" s="566" t="s">
        <v>212</v>
      </c>
      <c r="D84" s="589">
        <f>D34+D65+D77</f>
        <v>40</v>
      </c>
      <c r="E84" s="590">
        <f>E34+E65+E77</f>
        <v>40</v>
      </c>
      <c r="F84" s="591">
        <f aca="true" t="shared" si="90" ref="F84:Q84">F34+F64+F77</f>
        <v>148</v>
      </c>
      <c r="G84" s="589">
        <f t="shared" si="90"/>
        <v>148</v>
      </c>
      <c r="H84" s="589">
        <f t="shared" si="90"/>
        <v>148</v>
      </c>
      <c r="I84" s="589">
        <f t="shared" si="90"/>
        <v>150</v>
      </c>
      <c r="J84" s="589">
        <f t="shared" si="90"/>
        <v>150</v>
      </c>
      <c r="K84" s="589">
        <f t="shared" si="90"/>
        <v>144</v>
      </c>
      <c r="L84" s="589">
        <f t="shared" si="90"/>
        <v>148</v>
      </c>
      <c r="M84" s="589">
        <f t="shared" si="90"/>
        <v>155</v>
      </c>
      <c r="N84" s="589">
        <f t="shared" si="90"/>
        <v>116</v>
      </c>
      <c r="O84" s="589">
        <f t="shared" si="90"/>
        <v>117</v>
      </c>
      <c r="P84" s="589">
        <f t="shared" si="90"/>
        <v>118</v>
      </c>
      <c r="Q84" s="589">
        <f t="shared" si="90"/>
        <v>166</v>
      </c>
      <c r="R84" s="587"/>
      <c r="S84" s="589">
        <f aca="true" t="shared" si="91" ref="S84:AD84">S34+S64+S77</f>
        <v>187</v>
      </c>
      <c r="T84" s="589">
        <f t="shared" si="91"/>
        <v>187</v>
      </c>
      <c r="U84" s="589">
        <f t="shared" si="91"/>
        <v>187</v>
      </c>
      <c r="V84" s="589">
        <f t="shared" si="91"/>
        <v>189</v>
      </c>
      <c r="W84" s="589">
        <f t="shared" si="91"/>
        <v>189</v>
      </c>
      <c r="X84" s="589">
        <f t="shared" si="91"/>
        <v>183</v>
      </c>
      <c r="Y84" s="589">
        <f t="shared" si="91"/>
        <v>187</v>
      </c>
      <c r="Z84" s="589">
        <f t="shared" si="91"/>
        <v>194</v>
      </c>
      <c r="AA84" s="589">
        <f t="shared" si="91"/>
        <v>145</v>
      </c>
      <c r="AB84" s="589">
        <f t="shared" si="91"/>
        <v>146</v>
      </c>
      <c r="AC84" s="589">
        <f t="shared" si="91"/>
        <v>147</v>
      </c>
      <c r="AD84" s="589">
        <f t="shared" si="91"/>
        <v>201</v>
      </c>
      <c r="AE84" s="588"/>
      <c r="AF84" s="589">
        <f aca="true" t="shared" si="92" ref="AF84:AQ84">AF34+AF64+AF77</f>
        <v>210</v>
      </c>
      <c r="AG84" s="589">
        <f t="shared" si="92"/>
        <v>210</v>
      </c>
      <c r="AH84" s="589">
        <f t="shared" si="92"/>
        <v>210</v>
      </c>
      <c r="AI84" s="589">
        <f t="shared" si="92"/>
        <v>211</v>
      </c>
      <c r="AJ84" s="589">
        <f t="shared" si="92"/>
        <v>211</v>
      </c>
      <c r="AK84" s="589">
        <f t="shared" si="92"/>
        <v>204</v>
      </c>
      <c r="AL84" s="589">
        <f t="shared" si="92"/>
        <v>205</v>
      </c>
      <c r="AM84" s="589">
        <f t="shared" si="92"/>
        <v>213</v>
      </c>
      <c r="AN84" s="589">
        <f t="shared" si="92"/>
        <v>164</v>
      </c>
      <c r="AO84" s="589">
        <f t="shared" si="92"/>
        <v>164</v>
      </c>
      <c r="AP84" s="589">
        <f t="shared" si="92"/>
        <v>165</v>
      </c>
      <c r="AQ84" s="589">
        <f t="shared" si="92"/>
        <v>215</v>
      </c>
      <c r="AR84" s="99"/>
    </row>
    <row r="85" spans="2:44" ht="16.5" customHeight="1">
      <c r="B85" s="80"/>
      <c r="C85" s="566" t="s">
        <v>302</v>
      </c>
      <c r="D85" s="589">
        <f>D54+D71+D81</f>
        <v>2</v>
      </c>
      <c r="E85" s="590">
        <f>E54+E71+E81</f>
        <v>7.5</v>
      </c>
      <c r="F85" s="591">
        <f>F54+F71+F81</f>
        <v>8.5</v>
      </c>
      <c r="G85" s="589">
        <f>G54+G71+G81</f>
        <v>8.5</v>
      </c>
      <c r="H85" s="589">
        <f>H54+H71+H81</f>
        <v>8.5</v>
      </c>
      <c r="I85" s="589">
        <f aca="true" t="shared" si="93" ref="I85:Q85">I54+I71+I81</f>
        <v>8.5</v>
      </c>
      <c r="J85" s="589">
        <f t="shared" si="93"/>
        <v>8.5</v>
      </c>
      <c r="K85" s="589">
        <f t="shared" si="93"/>
        <v>8.5</v>
      </c>
      <c r="L85" s="589">
        <f t="shared" si="93"/>
        <v>9.5</v>
      </c>
      <c r="M85" s="589">
        <f t="shared" si="93"/>
        <v>9.5</v>
      </c>
      <c r="N85" s="589">
        <f t="shared" si="93"/>
        <v>6.5</v>
      </c>
      <c r="O85" s="589">
        <f t="shared" si="93"/>
        <v>6.5</v>
      </c>
      <c r="P85" s="589">
        <f t="shared" si="93"/>
        <v>6.5</v>
      </c>
      <c r="Q85" s="589">
        <f t="shared" si="93"/>
        <v>10</v>
      </c>
      <c r="R85" s="587"/>
      <c r="S85" s="589">
        <f aca="true" t="shared" si="94" ref="S85:AD85">S54+S71+S81</f>
        <v>10.5</v>
      </c>
      <c r="T85" s="589">
        <f t="shared" si="94"/>
        <v>10.5</v>
      </c>
      <c r="U85" s="589">
        <f t="shared" si="94"/>
        <v>10.5</v>
      </c>
      <c r="V85" s="589">
        <f t="shared" si="94"/>
        <v>10.5</v>
      </c>
      <c r="W85" s="589">
        <f t="shared" si="94"/>
        <v>10.5</v>
      </c>
      <c r="X85" s="589">
        <f t="shared" si="94"/>
        <v>10.5</v>
      </c>
      <c r="Y85" s="589">
        <f t="shared" si="94"/>
        <v>10.5</v>
      </c>
      <c r="Z85" s="589">
        <f t="shared" si="94"/>
        <v>10.5</v>
      </c>
      <c r="AA85" s="589">
        <f t="shared" si="94"/>
        <v>7.5</v>
      </c>
      <c r="AB85" s="589">
        <f t="shared" si="94"/>
        <v>7.5</v>
      </c>
      <c r="AC85" s="589">
        <f t="shared" si="94"/>
        <v>7.5</v>
      </c>
      <c r="AD85" s="589">
        <f t="shared" si="94"/>
        <v>10.5</v>
      </c>
      <c r="AE85" s="588"/>
      <c r="AF85" s="589">
        <f aca="true" t="shared" si="95" ref="AF85:AQ85">AF54+AF71+AF81</f>
        <v>12</v>
      </c>
      <c r="AG85" s="589">
        <f t="shared" si="95"/>
        <v>12</v>
      </c>
      <c r="AH85" s="589">
        <f t="shared" si="95"/>
        <v>12</v>
      </c>
      <c r="AI85" s="589">
        <f t="shared" si="95"/>
        <v>12</v>
      </c>
      <c r="AJ85" s="589">
        <f t="shared" si="95"/>
        <v>12</v>
      </c>
      <c r="AK85" s="589">
        <f t="shared" si="95"/>
        <v>12</v>
      </c>
      <c r="AL85" s="589">
        <f t="shared" si="95"/>
        <v>12</v>
      </c>
      <c r="AM85" s="589">
        <f t="shared" si="95"/>
        <v>12</v>
      </c>
      <c r="AN85" s="589">
        <f t="shared" si="95"/>
        <v>9</v>
      </c>
      <c r="AO85" s="589">
        <f t="shared" si="95"/>
        <v>9</v>
      </c>
      <c r="AP85" s="589">
        <f t="shared" si="95"/>
        <v>9</v>
      </c>
      <c r="AQ85" s="589">
        <f t="shared" si="95"/>
        <v>12</v>
      </c>
      <c r="AR85" s="99"/>
    </row>
    <row r="86" spans="2:44" ht="16.5" customHeight="1">
      <c r="B86" s="80"/>
      <c r="C86" s="566" t="s">
        <v>303</v>
      </c>
      <c r="D86" s="589">
        <f>D55</f>
        <v>0</v>
      </c>
      <c r="E86" s="590">
        <f>E55</f>
        <v>0</v>
      </c>
      <c r="F86" s="591">
        <f>F55</f>
        <v>3</v>
      </c>
      <c r="G86" s="589">
        <f>G55</f>
        <v>3</v>
      </c>
      <c r="H86" s="589">
        <f>H55</f>
        <v>3</v>
      </c>
      <c r="I86" s="589">
        <f aca="true" t="shared" si="96" ref="I86:Q86">I55</f>
        <v>3</v>
      </c>
      <c r="J86" s="589">
        <f t="shared" si="96"/>
        <v>3</v>
      </c>
      <c r="K86" s="589">
        <f t="shared" si="96"/>
        <v>3</v>
      </c>
      <c r="L86" s="589">
        <f t="shared" si="96"/>
        <v>2</v>
      </c>
      <c r="M86" s="589">
        <f t="shared" si="96"/>
        <v>2</v>
      </c>
      <c r="N86" s="589">
        <f t="shared" si="96"/>
        <v>2</v>
      </c>
      <c r="O86" s="589">
        <f t="shared" si="96"/>
        <v>2</v>
      </c>
      <c r="P86" s="589">
        <f t="shared" si="96"/>
        <v>2</v>
      </c>
      <c r="Q86" s="589">
        <f t="shared" si="96"/>
        <v>2</v>
      </c>
      <c r="R86" s="587"/>
      <c r="S86" s="589">
        <f aca="true" t="shared" si="97" ref="S86:AD86">S55</f>
        <v>2</v>
      </c>
      <c r="T86" s="589">
        <f t="shared" si="97"/>
        <v>2</v>
      </c>
      <c r="U86" s="589">
        <f t="shared" si="97"/>
        <v>2</v>
      </c>
      <c r="V86" s="589">
        <f t="shared" si="97"/>
        <v>3</v>
      </c>
      <c r="W86" s="589">
        <f t="shared" si="97"/>
        <v>3</v>
      </c>
      <c r="X86" s="589">
        <f t="shared" si="97"/>
        <v>3</v>
      </c>
      <c r="Y86" s="589">
        <f t="shared" si="97"/>
        <v>3</v>
      </c>
      <c r="Z86" s="589">
        <f t="shared" si="97"/>
        <v>3</v>
      </c>
      <c r="AA86" s="589">
        <f t="shared" si="97"/>
        <v>3</v>
      </c>
      <c r="AB86" s="589">
        <f t="shared" si="97"/>
        <v>3</v>
      </c>
      <c r="AC86" s="589">
        <f t="shared" si="97"/>
        <v>3</v>
      </c>
      <c r="AD86" s="589">
        <f t="shared" si="97"/>
        <v>3</v>
      </c>
      <c r="AE86" s="588"/>
      <c r="AF86" s="589">
        <f aca="true" t="shared" si="98" ref="AF86:AQ86">AF55</f>
        <v>2</v>
      </c>
      <c r="AG86" s="589">
        <f t="shared" si="98"/>
        <v>2</v>
      </c>
      <c r="AH86" s="589">
        <f t="shared" si="98"/>
        <v>2</v>
      </c>
      <c r="AI86" s="589">
        <f t="shared" si="98"/>
        <v>2</v>
      </c>
      <c r="AJ86" s="589">
        <f t="shared" si="98"/>
        <v>2</v>
      </c>
      <c r="AK86" s="589">
        <f t="shared" si="98"/>
        <v>2</v>
      </c>
      <c r="AL86" s="589">
        <f t="shared" si="98"/>
        <v>2</v>
      </c>
      <c r="AM86" s="589">
        <f t="shared" si="98"/>
        <v>2</v>
      </c>
      <c r="AN86" s="589">
        <f t="shared" si="98"/>
        <v>2</v>
      </c>
      <c r="AO86" s="589">
        <f t="shared" si="98"/>
        <v>2</v>
      </c>
      <c r="AP86" s="589">
        <f t="shared" si="98"/>
        <v>2</v>
      </c>
      <c r="AQ86" s="589">
        <f t="shared" si="98"/>
        <v>2</v>
      </c>
      <c r="AR86" s="99"/>
    </row>
    <row r="87" ht="16.5" customHeight="1"/>
    <row r="88" spans="1:10" ht="16.5" customHeight="1">
      <c r="A88" s="90" t="s">
        <v>111</v>
      </c>
      <c r="B88" s="90"/>
      <c r="C88" s="90"/>
      <c r="D88" s="68"/>
      <c r="E88" s="68"/>
      <c r="F88" s="68"/>
      <c r="G88" s="68"/>
      <c r="H88" s="68"/>
      <c r="I88" s="68"/>
      <c r="J88" s="68"/>
    </row>
    <row r="89" spans="1:10" ht="16.5" customHeight="1">
      <c r="A89" s="275" t="s">
        <v>224</v>
      </c>
      <c r="B89" s="68"/>
      <c r="C89" s="68"/>
      <c r="D89" s="68"/>
      <c r="E89" s="68"/>
      <c r="F89" s="68"/>
      <c r="G89" s="68"/>
      <c r="H89" s="68"/>
      <c r="I89" s="68"/>
      <c r="J89" s="68"/>
    </row>
    <row r="90" spans="2:44" ht="24.75" customHeight="1">
      <c r="B90" s="317" t="s">
        <v>110</v>
      </c>
      <c r="C90" s="318"/>
      <c r="D90" s="318"/>
      <c r="E90" s="318"/>
      <c r="F90" s="318"/>
      <c r="G90" s="242" t="s">
        <v>112</v>
      </c>
      <c r="H90" s="69"/>
      <c r="I90" s="153"/>
      <c r="J90" s="68"/>
      <c r="AE90" s="75"/>
      <c r="AR90" s="75"/>
    </row>
    <row r="91" spans="1:44" ht="16.5" customHeight="1">
      <c r="A91" s="202" t="s">
        <v>36</v>
      </c>
      <c r="B91" s="154"/>
      <c r="C91" s="154">
        <v>1</v>
      </c>
      <c r="D91" s="154">
        <v>1</v>
      </c>
      <c r="E91" s="154">
        <v>1</v>
      </c>
      <c r="F91" s="383">
        <v>1</v>
      </c>
      <c r="G91" s="155">
        <f>F91</f>
        <v>1</v>
      </c>
      <c r="H91" s="154">
        <f>G91</f>
        <v>1</v>
      </c>
      <c r="I91" s="154">
        <f aca="true" t="shared" si="99" ref="I91:Q91">H91</f>
        <v>1</v>
      </c>
      <c r="J91" s="154">
        <f t="shared" si="99"/>
        <v>1</v>
      </c>
      <c r="K91" s="154">
        <f t="shared" si="99"/>
        <v>1</v>
      </c>
      <c r="L91" s="154">
        <f t="shared" si="99"/>
        <v>1</v>
      </c>
      <c r="M91" s="154">
        <f t="shared" si="99"/>
        <v>1</v>
      </c>
      <c r="N91" s="154">
        <f t="shared" si="99"/>
        <v>1</v>
      </c>
      <c r="O91" s="154">
        <f t="shared" si="99"/>
        <v>1</v>
      </c>
      <c r="P91" s="154">
        <f t="shared" si="99"/>
        <v>1</v>
      </c>
      <c r="Q91" s="154">
        <f t="shared" si="99"/>
        <v>1</v>
      </c>
      <c r="R91" s="156"/>
      <c r="S91" s="154">
        <f aca="true" t="shared" si="100" ref="S91:S96">Q91</f>
        <v>1</v>
      </c>
      <c r="T91" s="154">
        <f aca="true" t="shared" si="101" ref="T91:AD91">S91</f>
        <v>1</v>
      </c>
      <c r="U91" s="154">
        <f t="shared" si="101"/>
        <v>1</v>
      </c>
      <c r="V91" s="154">
        <f t="shared" si="101"/>
        <v>1</v>
      </c>
      <c r="W91" s="154">
        <f t="shared" si="101"/>
        <v>1</v>
      </c>
      <c r="X91" s="154">
        <f t="shared" si="101"/>
        <v>1</v>
      </c>
      <c r="Y91" s="154">
        <f t="shared" si="101"/>
        <v>1</v>
      </c>
      <c r="Z91" s="154">
        <f t="shared" si="101"/>
        <v>1</v>
      </c>
      <c r="AA91" s="154">
        <f t="shared" si="101"/>
        <v>1</v>
      </c>
      <c r="AB91" s="154">
        <f t="shared" si="101"/>
        <v>1</v>
      </c>
      <c r="AC91" s="154">
        <f t="shared" si="101"/>
        <v>1</v>
      </c>
      <c r="AD91" s="154">
        <f t="shared" si="101"/>
        <v>1</v>
      </c>
      <c r="AE91" s="99"/>
      <c r="AF91" s="154">
        <f aca="true" t="shared" si="102" ref="AF91:AF96">AD91</f>
        <v>1</v>
      </c>
      <c r="AG91" s="154">
        <f aca="true" t="shared" si="103" ref="AG91:AQ91">AF91</f>
        <v>1</v>
      </c>
      <c r="AH91" s="154">
        <f t="shared" si="103"/>
        <v>1</v>
      </c>
      <c r="AI91" s="154">
        <f t="shared" si="103"/>
        <v>1</v>
      </c>
      <c r="AJ91" s="154">
        <f t="shared" si="103"/>
        <v>1</v>
      </c>
      <c r="AK91" s="154">
        <f t="shared" si="103"/>
        <v>1</v>
      </c>
      <c r="AL91" s="154">
        <f t="shared" si="103"/>
        <v>1</v>
      </c>
      <c r="AM91" s="154">
        <f t="shared" si="103"/>
        <v>1</v>
      </c>
      <c r="AN91" s="154">
        <f t="shared" si="103"/>
        <v>1</v>
      </c>
      <c r="AO91" s="154">
        <f t="shared" si="103"/>
        <v>1</v>
      </c>
      <c r="AP91" s="154">
        <f t="shared" si="103"/>
        <v>1</v>
      </c>
      <c r="AQ91" s="154">
        <f t="shared" si="103"/>
        <v>1</v>
      </c>
      <c r="AR91" s="99"/>
    </row>
    <row r="92" spans="1:44" ht="16.5" customHeight="1">
      <c r="A92" s="202" t="s">
        <v>37</v>
      </c>
      <c r="B92" s="154"/>
      <c r="C92" s="154"/>
      <c r="D92" s="154"/>
      <c r="E92" s="154">
        <v>0</v>
      </c>
      <c r="F92" s="383">
        <v>0</v>
      </c>
      <c r="G92" s="154">
        <v>0</v>
      </c>
      <c r="H92" s="154">
        <v>0</v>
      </c>
      <c r="I92" s="154">
        <v>0</v>
      </c>
      <c r="J92" s="154">
        <v>0</v>
      </c>
      <c r="K92" s="154">
        <v>0</v>
      </c>
      <c r="L92" s="154">
        <v>0</v>
      </c>
      <c r="M92" s="154">
        <v>0</v>
      </c>
      <c r="N92" s="154">
        <v>0</v>
      </c>
      <c r="O92" s="154">
        <f>N92</f>
        <v>0</v>
      </c>
      <c r="P92" s="154">
        <f>O92</f>
        <v>0</v>
      </c>
      <c r="Q92" s="154">
        <f>P92</f>
        <v>0</v>
      </c>
      <c r="R92" s="156"/>
      <c r="S92" s="154">
        <f t="shared" si="100"/>
        <v>0</v>
      </c>
      <c r="T92" s="154">
        <f aca="true" t="shared" si="104" ref="T92:AD92">S92</f>
        <v>0</v>
      </c>
      <c r="U92" s="154">
        <f t="shared" si="104"/>
        <v>0</v>
      </c>
      <c r="V92" s="154">
        <f t="shared" si="104"/>
        <v>0</v>
      </c>
      <c r="W92" s="154">
        <f t="shared" si="104"/>
        <v>0</v>
      </c>
      <c r="X92" s="154">
        <f t="shared" si="104"/>
        <v>0</v>
      </c>
      <c r="Y92" s="154">
        <f t="shared" si="104"/>
        <v>0</v>
      </c>
      <c r="Z92" s="154">
        <f t="shared" si="104"/>
        <v>0</v>
      </c>
      <c r="AA92" s="154">
        <f t="shared" si="104"/>
        <v>0</v>
      </c>
      <c r="AB92" s="154">
        <f t="shared" si="104"/>
        <v>0</v>
      </c>
      <c r="AC92" s="154">
        <f t="shared" si="104"/>
        <v>0</v>
      </c>
      <c r="AD92" s="154">
        <f t="shared" si="104"/>
        <v>0</v>
      </c>
      <c r="AE92" s="99"/>
      <c r="AF92" s="154">
        <f t="shared" si="102"/>
        <v>0</v>
      </c>
      <c r="AG92" s="154">
        <f aca="true" t="shared" si="105" ref="AG92:AQ92">AF92</f>
        <v>0</v>
      </c>
      <c r="AH92" s="154">
        <f t="shared" si="105"/>
        <v>0</v>
      </c>
      <c r="AI92" s="154">
        <f t="shared" si="105"/>
        <v>0</v>
      </c>
      <c r="AJ92" s="154">
        <f t="shared" si="105"/>
        <v>0</v>
      </c>
      <c r="AK92" s="154">
        <f t="shared" si="105"/>
        <v>0</v>
      </c>
      <c r="AL92" s="154">
        <f t="shared" si="105"/>
        <v>0</v>
      </c>
      <c r="AM92" s="154">
        <f t="shared" si="105"/>
        <v>0</v>
      </c>
      <c r="AN92" s="154">
        <f t="shared" si="105"/>
        <v>0</v>
      </c>
      <c r="AO92" s="154">
        <f t="shared" si="105"/>
        <v>0</v>
      </c>
      <c r="AP92" s="154">
        <f t="shared" si="105"/>
        <v>0</v>
      </c>
      <c r="AQ92" s="154">
        <f t="shared" si="105"/>
        <v>0</v>
      </c>
      <c r="AR92" s="99"/>
    </row>
    <row r="93" spans="1:44" ht="16.5" customHeight="1">
      <c r="A93" s="305" t="s">
        <v>374</v>
      </c>
      <c r="B93" s="154"/>
      <c r="C93" s="154"/>
      <c r="D93" s="154"/>
      <c r="E93" s="154">
        <v>1</v>
      </c>
      <c r="F93" s="383">
        <v>1</v>
      </c>
      <c r="G93" s="155">
        <v>1</v>
      </c>
      <c r="H93" s="154">
        <v>1</v>
      </c>
      <c r="I93" s="154">
        <v>1</v>
      </c>
      <c r="J93" s="154">
        <v>1</v>
      </c>
      <c r="K93" s="154">
        <v>1</v>
      </c>
      <c r="L93" s="154">
        <v>1</v>
      </c>
      <c r="M93" s="154">
        <v>1</v>
      </c>
      <c r="N93" s="154">
        <v>1</v>
      </c>
      <c r="O93" s="154">
        <v>1</v>
      </c>
      <c r="P93" s="154">
        <v>1</v>
      </c>
      <c r="Q93" s="154">
        <v>1</v>
      </c>
      <c r="R93" s="156"/>
      <c r="S93" s="154">
        <v>2</v>
      </c>
      <c r="T93" s="154">
        <f aca="true" t="shared" si="106" ref="T93:AD93">S93</f>
        <v>2</v>
      </c>
      <c r="U93" s="154">
        <f t="shared" si="106"/>
        <v>2</v>
      </c>
      <c r="V93" s="154">
        <f t="shared" si="106"/>
        <v>2</v>
      </c>
      <c r="W93" s="154">
        <f t="shared" si="106"/>
        <v>2</v>
      </c>
      <c r="X93" s="154">
        <f t="shared" si="106"/>
        <v>2</v>
      </c>
      <c r="Y93" s="154">
        <f t="shared" si="106"/>
        <v>2</v>
      </c>
      <c r="Z93" s="154">
        <f t="shared" si="106"/>
        <v>2</v>
      </c>
      <c r="AA93" s="154">
        <f t="shared" si="106"/>
        <v>2</v>
      </c>
      <c r="AB93" s="154">
        <f t="shared" si="106"/>
        <v>2</v>
      </c>
      <c r="AC93" s="154">
        <f t="shared" si="106"/>
        <v>2</v>
      </c>
      <c r="AD93" s="154">
        <f t="shared" si="106"/>
        <v>2</v>
      </c>
      <c r="AE93" s="99"/>
      <c r="AF93" s="154">
        <v>3</v>
      </c>
      <c r="AG93" s="154">
        <f aca="true" t="shared" si="107" ref="AG93:AQ93">AF93</f>
        <v>3</v>
      </c>
      <c r="AH93" s="154">
        <f t="shared" si="107"/>
        <v>3</v>
      </c>
      <c r="AI93" s="154">
        <f t="shared" si="107"/>
        <v>3</v>
      </c>
      <c r="AJ93" s="154">
        <f t="shared" si="107"/>
        <v>3</v>
      </c>
      <c r="AK93" s="154">
        <f t="shared" si="107"/>
        <v>3</v>
      </c>
      <c r="AL93" s="154">
        <f t="shared" si="107"/>
        <v>3</v>
      </c>
      <c r="AM93" s="154">
        <f t="shared" si="107"/>
        <v>3</v>
      </c>
      <c r="AN93" s="154">
        <f t="shared" si="107"/>
        <v>3</v>
      </c>
      <c r="AO93" s="154">
        <f t="shared" si="107"/>
        <v>3</v>
      </c>
      <c r="AP93" s="154">
        <f t="shared" si="107"/>
        <v>3</v>
      </c>
      <c r="AQ93" s="154">
        <f t="shared" si="107"/>
        <v>3</v>
      </c>
      <c r="AR93" s="99"/>
    </row>
    <row r="94" spans="1:44" ht="16.5" customHeight="1">
      <c r="A94" s="202" t="s">
        <v>107</v>
      </c>
      <c r="B94" s="154"/>
      <c r="C94" s="154"/>
      <c r="D94" s="158"/>
      <c r="E94" s="158"/>
      <c r="F94" s="383"/>
      <c r="G94" s="155"/>
      <c r="H94" s="154"/>
      <c r="I94" s="154"/>
      <c r="J94" s="154"/>
      <c r="K94" s="154"/>
      <c r="L94" s="154"/>
      <c r="M94" s="154"/>
      <c r="N94" s="154"/>
      <c r="O94" s="154"/>
      <c r="P94" s="154"/>
      <c r="Q94" s="154"/>
      <c r="R94" s="156"/>
      <c r="S94" s="154"/>
      <c r="T94" s="154"/>
      <c r="U94" s="154"/>
      <c r="V94" s="154"/>
      <c r="W94" s="154"/>
      <c r="X94" s="154"/>
      <c r="Y94" s="154"/>
      <c r="Z94" s="154"/>
      <c r="AA94" s="154"/>
      <c r="AB94" s="154"/>
      <c r="AC94" s="154"/>
      <c r="AD94" s="154"/>
      <c r="AE94" s="99"/>
      <c r="AF94" s="154"/>
      <c r="AG94" s="154"/>
      <c r="AH94" s="154"/>
      <c r="AI94" s="154"/>
      <c r="AJ94" s="154"/>
      <c r="AK94" s="154"/>
      <c r="AL94" s="154"/>
      <c r="AM94" s="154"/>
      <c r="AN94" s="154"/>
      <c r="AO94" s="154"/>
      <c r="AP94" s="154"/>
      <c r="AQ94" s="154"/>
      <c r="AR94" s="99"/>
    </row>
    <row r="95" spans="1:44" ht="16.5" customHeight="1">
      <c r="A95" s="202" t="s">
        <v>39</v>
      </c>
      <c r="B95" s="154"/>
      <c r="C95" s="154"/>
      <c r="D95" s="154"/>
      <c r="E95" s="154">
        <v>0.5</v>
      </c>
      <c r="F95" s="383">
        <v>0.5</v>
      </c>
      <c r="G95" s="155">
        <v>0.5</v>
      </c>
      <c r="H95" s="154">
        <v>0.5</v>
      </c>
      <c r="I95" s="154">
        <v>0.5</v>
      </c>
      <c r="J95" s="154">
        <v>0.5</v>
      </c>
      <c r="K95" s="154">
        <v>0.5</v>
      </c>
      <c r="L95" s="154">
        <v>0.5</v>
      </c>
      <c r="M95" s="154">
        <v>0.5</v>
      </c>
      <c r="N95" s="154">
        <v>0.5</v>
      </c>
      <c r="O95" s="154">
        <v>0.5</v>
      </c>
      <c r="P95" s="154">
        <v>0.5</v>
      </c>
      <c r="Q95" s="154">
        <v>0.5</v>
      </c>
      <c r="R95" s="156"/>
      <c r="S95" s="154">
        <f t="shared" si="100"/>
        <v>0.5</v>
      </c>
      <c r="T95" s="154">
        <f aca="true" t="shared" si="108" ref="T95:AD95">S95</f>
        <v>0.5</v>
      </c>
      <c r="U95" s="154">
        <f t="shared" si="108"/>
        <v>0.5</v>
      </c>
      <c r="V95" s="154">
        <f t="shared" si="108"/>
        <v>0.5</v>
      </c>
      <c r="W95" s="154">
        <f t="shared" si="108"/>
        <v>0.5</v>
      </c>
      <c r="X95" s="154">
        <f t="shared" si="108"/>
        <v>0.5</v>
      </c>
      <c r="Y95" s="154">
        <f t="shared" si="108"/>
        <v>0.5</v>
      </c>
      <c r="Z95" s="154">
        <f t="shared" si="108"/>
        <v>0.5</v>
      </c>
      <c r="AA95" s="154">
        <f t="shared" si="108"/>
        <v>0.5</v>
      </c>
      <c r="AB95" s="154">
        <f t="shared" si="108"/>
        <v>0.5</v>
      </c>
      <c r="AC95" s="154">
        <f t="shared" si="108"/>
        <v>0.5</v>
      </c>
      <c r="AD95" s="154">
        <f t="shared" si="108"/>
        <v>0.5</v>
      </c>
      <c r="AE95" s="99"/>
      <c r="AF95" s="154">
        <f t="shared" si="102"/>
        <v>0.5</v>
      </c>
      <c r="AG95" s="154">
        <f aca="true" t="shared" si="109" ref="AG95:AQ95">AF95</f>
        <v>0.5</v>
      </c>
      <c r="AH95" s="154">
        <f t="shared" si="109"/>
        <v>0.5</v>
      </c>
      <c r="AI95" s="154">
        <f t="shared" si="109"/>
        <v>0.5</v>
      </c>
      <c r="AJ95" s="154">
        <f t="shared" si="109"/>
        <v>0.5</v>
      </c>
      <c r="AK95" s="154">
        <f t="shared" si="109"/>
        <v>0.5</v>
      </c>
      <c r="AL95" s="154">
        <f t="shared" si="109"/>
        <v>0.5</v>
      </c>
      <c r="AM95" s="154">
        <f t="shared" si="109"/>
        <v>0.5</v>
      </c>
      <c r="AN95" s="154">
        <f t="shared" si="109"/>
        <v>0.5</v>
      </c>
      <c r="AO95" s="154">
        <f t="shared" si="109"/>
        <v>0.5</v>
      </c>
      <c r="AP95" s="154">
        <f t="shared" si="109"/>
        <v>0.5</v>
      </c>
      <c r="AQ95" s="154">
        <f t="shared" si="109"/>
        <v>0.5</v>
      </c>
      <c r="AR95" s="99"/>
    </row>
    <row r="96" spans="1:44" ht="16.5" customHeight="1" thickBot="1">
      <c r="A96" s="202" t="s">
        <v>38</v>
      </c>
      <c r="B96" s="154"/>
      <c r="C96" s="154"/>
      <c r="D96" s="160"/>
      <c r="E96" s="160">
        <v>0</v>
      </c>
      <c r="F96" s="384">
        <v>0</v>
      </c>
      <c r="G96" s="161">
        <v>0</v>
      </c>
      <c r="H96" s="160">
        <v>0</v>
      </c>
      <c r="I96" s="160">
        <v>0</v>
      </c>
      <c r="J96" s="160">
        <v>0</v>
      </c>
      <c r="K96" s="160">
        <v>0</v>
      </c>
      <c r="L96" s="160">
        <f aca="true" t="shared" si="110" ref="L96:Q96">K96</f>
        <v>0</v>
      </c>
      <c r="M96" s="160">
        <f t="shared" si="110"/>
        <v>0</v>
      </c>
      <c r="N96" s="160">
        <f t="shared" si="110"/>
        <v>0</v>
      </c>
      <c r="O96" s="160">
        <f t="shared" si="110"/>
        <v>0</v>
      </c>
      <c r="P96" s="160">
        <f t="shared" si="110"/>
        <v>0</v>
      </c>
      <c r="Q96" s="160">
        <f t="shared" si="110"/>
        <v>0</v>
      </c>
      <c r="R96" s="156"/>
      <c r="S96" s="160">
        <f t="shared" si="100"/>
        <v>0</v>
      </c>
      <c r="T96" s="160">
        <f aca="true" t="shared" si="111" ref="T96:AD96">S96</f>
        <v>0</v>
      </c>
      <c r="U96" s="160">
        <f t="shared" si="111"/>
        <v>0</v>
      </c>
      <c r="V96" s="160">
        <f t="shared" si="111"/>
        <v>0</v>
      </c>
      <c r="W96" s="160">
        <f t="shared" si="111"/>
        <v>0</v>
      </c>
      <c r="X96" s="160">
        <f t="shared" si="111"/>
        <v>0</v>
      </c>
      <c r="Y96" s="160">
        <f t="shared" si="111"/>
        <v>0</v>
      </c>
      <c r="Z96" s="160">
        <f t="shared" si="111"/>
        <v>0</v>
      </c>
      <c r="AA96" s="160">
        <f t="shared" si="111"/>
        <v>0</v>
      </c>
      <c r="AB96" s="160">
        <f t="shared" si="111"/>
        <v>0</v>
      </c>
      <c r="AC96" s="160">
        <f t="shared" si="111"/>
        <v>0</v>
      </c>
      <c r="AD96" s="160">
        <f t="shared" si="111"/>
        <v>0</v>
      </c>
      <c r="AE96" s="99"/>
      <c r="AF96" s="160">
        <f t="shared" si="102"/>
        <v>0</v>
      </c>
      <c r="AG96" s="160">
        <f aca="true" t="shared" si="112" ref="AG96:AQ96">AF96</f>
        <v>0</v>
      </c>
      <c r="AH96" s="160">
        <f t="shared" si="112"/>
        <v>0</v>
      </c>
      <c r="AI96" s="160">
        <f t="shared" si="112"/>
        <v>0</v>
      </c>
      <c r="AJ96" s="160">
        <f t="shared" si="112"/>
        <v>0</v>
      </c>
      <c r="AK96" s="160">
        <f t="shared" si="112"/>
        <v>0</v>
      </c>
      <c r="AL96" s="160">
        <f t="shared" si="112"/>
        <v>0</v>
      </c>
      <c r="AM96" s="160">
        <f t="shared" si="112"/>
        <v>0</v>
      </c>
      <c r="AN96" s="160">
        <f t="shared" si="112"/>
        <v>0</v>
      </c>
      <c r="AO96" s="160">
        <f t="shared" si="112"/>
        <v>0</v>
      </c>
      <c r="AP96" s="160">
        <f t="shared" si="112"/>
        <v>0</v>
      </c>
      <c r="AQ96" s="160">
        <f t="shared" si="112"/>
        <v>0</v>
      </c>
      <c r="AR96" s="99"/>
    </row>
    <row r="97" spans="1:45" s="608" customFormat="1" ht="16.5" customHeight="1" thickTop="1">
      <c r="A97" s="605" t="s">
        <v>109</v>
      </c>
      <c r="B97" s="609">
        <f>COUNTIF(B91:B96,"&gt;0.75")</f>
        <v>0</v>
      </c>
      <c r="C97" s="609">
        <f aca="true" t="shared" si="113" ref="C97:Q97">COUNTIF(C91:C96,"&gt;0.75")</f>
        <v>1</v>
      </c>
      <c r="D97" s="609">
        <f t="shared" si="113"/>
        <v>1</v>
      </c>
      <c r="E97" s="609">
        <f t="shared" si="113"/>
        <v>2</v>
      </c>
      <c r="F97" s="591">
        <f t="shared" si="113"/>
        <v>2</v>
      </c>
      <c r="G97" s="609">
        <f t="shared" si="113"/>
        <v>2</v>
      </c>
      <c r="H97" s="609">
        <f t="shared" si="113"/>
        <v>2</v>
      </c>
      <c r="I97" s="609">
        <f t="shared" si="113"/>
        <v>2</v>
      </c>
      <c r="J97" s="609">
        <f t="shared" si="113"/>
        <v>2</v>
      </c>
      <c r="K97" s="609">
        <f t="shared" si="113"/>
        <v>2</v>
      </c>
      <c r="L97" s="609">
        <f t="shared" si="113"/>
        <v>2</v>
      </c>
      <c r="M97" s="609">
        <f t="shared" si="113"/>
        <v>2</v>
      </c>
      <c r="N97" s="609">
        <f t="shared" si="113"/>
        <v>2</v>
      </c>
      <c r="O97" s="609">
        <f t="shared" si="113"/>
        <v>2</v>
      </c>
      <c r="P97" s="609">
        <f t="shared" si="113"/>
        <v>2</v>
      </c>
      <c r="Q97" s="609">
        <f t="shared" si="113"/>
        <v>2</v>
      </c>
      <c r="R97" s="606"/>
      <c r="S97" s="609">
        <f aca="true" t="shared" si="114" ref="S97:AD97">COUNTIF(S91:S96,"&gt;0.75")</f>
        <v>2</v>
      </c>
      <c r="T97" s="609">
        <f t="shared" si="114"/>
        <v>2</v>
      </c>
      <c r="U97" s="609">
        <f t="shared" si="114"/>
        <v>2</v>
      </c>
      <c r="V97" s="609">
        <f t="shared" si="114"/>
        <v>2</v>
      </c>
      <c r="W97" s="609">
        <f t="shared" si="114"/>
        <v>2</v>
      </c>
      <c r="X97" s="609">
        <f t="shared" si="114"/>
        <v>2</v>
      </c>
      <c r="Y97" s="609">
        <f t="shared" si="114"/>
        <v>2</v>
      </c>
      <c r="Z97" s="609">
        <f t="shared" si="114"/>
        <v>2</v>
      </c>
      <c r="AA97" s="609">
        <f t="shared" si="114"/>
        <v>2</v>
      </c>
      <c r="AB97" s="609">
        <f t="shared" si="114"/>
        <v>2</v>
      </c>
      <c r="AC97" s="609">
        <f t="shared" si="114"/>
        <v>2</v>
      </c>
      <c r="AD97" s="609">
        <f t="shared" si="114"/>
        <v>2</v>
      </c>
      <c r="AE97" s="606"/>
      <c r="AF97" s="609">
        <f aca="true" t="shared" si="115" ref="AF97:AQ97">COUNTIF(AF91:AF96,"&gt;0.75")</f>
        <v>2</v>
      </c>
      <c r="AG97" s="609">
        <f t="shared" si="115"/>
        <v>2</v>
      </c>
      <c r="AH97" s="609">
        <f t="shared" si="115"/>
        <v>2</v>
      </c>
      <c r="AI97" s="609">
        <f t="shared" si="115"/>
        <v>2</v>
      </c>
      <c r="AJ97" s="609">
        <f t="shared" si="115"/>
        <v>2</v>
      </c>
      <c r="AK97" s="609">
        <f t="shared" si="115"/>
        <v>2</v>
      </c>
      <c r="AL97" s="609">
        <f t="shared" si="115"/>
        <v>2</v>
      </c>
      <c r="AM97" s="609">
        <f t="shared" si="115"/>
        <v>2</v>
      </c>
      <c r="AN97" s="609">
        <f t="shared" si="115"/>
        <v>2</v>
      </c>
      <c r="AO97" s="609">
        <f t="shared" si="115"/>
        <v>2</v>
      </c>
      <c r="AP97" s="609">
        <f t="shared" si="115"/>
        <v>2</v>
      </c>
      <c r="AQ97" s="609">
        <f t="shared" si="115"/>
        <v>2</v>
      </c>
      <c r="AR97" s="606"/>
      <c r="AS97" s="607"/>
    </row>
    <row r="98" spans="1:45" s="608" customFormat="1" ht="16.5" customHeight="1">
      <c r="A98" s="605" t="s">
        <v>305</v>
      </c>
      <c r="B98" s="609">
        <f>COUNT(B91:B96)-B97</f>
        <v>0</v>
      </c>
      <c r="C98" s="609">
        <f aca="true" t="shared" si="116" ref="C98:Q98">COUNT(C91:C96)-C97</f>
        <v>0</v>
      </c>
      <c r="D98" s="609">
        <f t="shared" si="116"/>
        <v>0</v>
      </c>
      <c r="E98" s="609">
        <f t="shared" si="116"/>
        <v>3</v>
      </c>
      <c r="F98" s="591">
        <f t="shared" si="116"/>
        <v>3</v>
      </c>
      <c r="G98" s="609">
        <f t="shared" si="116"/>
        <v>3</v>
      </c>
      <c r="H98" s="609">
        <f t="shared" si="116"/>
        <v>3</v>
      </c>
      <c r="I98" s="609">
        <f t="shared" si="116"/>
        <v>3</v>
      </c>
      <c r="J98" s="609">
        <f t="shared" si="116"/>
        <v>3</v>
      </c>
      <c r="K98" s="609">
        <f t="shared" si="116"/>
        <v>3</v>
      </c>
      <c r="L98" s="609">
        <f t="shared" si="116"/>
        <v>3</v>
      </c>
      <c r="M98" s="609">
        <f t="shared" si="116"/>
        <v>3</v>
      </c>
      <c r="N98" s="609">
        <f t="shared" si="116"/>
        <v>3</v>
      </c>
      <c r="O98" s="609">
        <f t="shared" si="116"/>
        <v>3</v>
      </c>
      <c r="P98" s="609">
        <f t="shared" si="116"/>
        <v>3</v>
      </c>
      <c r="Q98" s="609">
        <f t="shared" si="116"/>
        <v>3</v>
      </c>
      <c r="R98" s="606"/>
      <c r="S98" s="609">
        <f aca="true" t="shared" si="117" ref="S98:AD98">COUNT(S91:S96)-S97</f>
        <v>3</v>
      </c>
      <c r="T98" s="609">
        <f t="shared" si="117"/>
        <v>3</v>
      </c>
      <c r="U98" s="609">
        <f t="shared" si="117"/>
        <v>3</v>
      </c>
      <c r="V98" s="609">
        <f t="shared" si="117"/>
        <v>3</v>
      </c>
      <c r="W98" s="609">
        <f t="shared" si="117"/>
        <v>3</v>
      </c>
      <c r="X98" s="609">
        <f t="shared" si="117"/>
        <v>3</v>
      </c>
      <c r="Y98" s="609">
        <f t="shared" si="117"/>
        <v>3</v>
      </c>
      <c r="Z98" s="609">
        <f t="shared" si="117"/>
        <v>3</v>
      </c>
      <c r="AA98" s="609">
        <f t="shared" si="117"/>
        <v>3</v>
      </c>
      <c r="AB98" s="609">
        <f t="shared" si="117"/>
        <v>3</v>
      </c>
      <c r="AC98" s="609">
        <f t="shared" si="117"/>
        <v>3</v>
      </c>
      <c r="AD98" s="609">
        <f t="shared" si="117"/>
        <v>3</v>
      </c>
      <c r="AE98" s="606"/>
      <c r="AF98" s="609">
        <f aca="true" t="shared" si="118" ref="AF98:AQ98">COUNT(AF91:AF96)-AF97</f>
        <v>3</v>
      </c>
      <c r="AG98" s="609">
        <f t="shared" si="118"/>
        <v>3</v>
      </c>
      <c r="AH98" s="609">
        <f t="shared" si="118"/>
        <v>3</v>
      </c>
      <c r="AI98" s="609">
        <f t="shared" si="118"/>
        <v>3</v>
      </c>
      <c r="AJ98" s="609">
        <f t="shared" si="118"/>
        <v>3</v>
      </c>
      <c r="AK98" s="609">
        <f t="shared" si="118"/>
        <v>3</v>
      </c>
      <c r="AL98" s="609">
        <f t="shared" si="118"/>
        <v>3</v>
      </c>
      <c r="AM98" s="609">
        <f t="shared" si="118"/>
        <v>3</v>
      </c>
      <c r="AN98" s="609">
        <f t="shared" si="118"/>
        <v>3</v>
      </c>
      <c r="AO98" s="609">
        <f t="shared" si="118"/>
        <v>3</v>
      </c>
      <c r="AP98" s="609">
        <f t="shared" si="118"/>
        <v>3</v>
      </c>
      <c r="AQ98" s="609">
        <f t="shared" si="118"/>
        <v>3</v>
      </c>
      <c r="AR98" s="606"/>
      <c r="AS98" s="607"/>
    </row>
    <row r="99" spans="1:45" s="196" customFormat="1" ht="13.5">
      <c r="A99" s="76"/>
      <c r="B99" s="195"/>
      <c r="C99" s="195"/>
      <c r="D99" s="195"/>
      <c r="E99" s="195"/>
      <c r="F99" s="195"/>
      <c r="G99" s="195"/>
      <c r="H99" s="195"/>
      <c r="I99" s="195"/>
      <c r="J99" s="195"/>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195"/>
    </row>
  </sheetData>
  <sheetProtection password="CE37" sheet="1" objects="1" scenarios="1"/>
  <mergeCells count="28">
    <mergeCell ref="D24:D25"/>
    <mergeCell ref="F24:F25"/>
    <mergeCell ref="I7:I8"/>
    <mergeCell ref="AR25:AR26"/>
    <mergeCell ref="H14:J14"/>
    <mergeCell ref="H15:J15"/>
    <mergeCell ref="L6:L8"/>
    <mergeCell ref="N6:N8"/>
    <mergeCell ref="M6:M8"/>
    <mergeCell ref="H12:J12"/>
    <mergeCell ref="H13:J13"/>
    <mergeCell ref="H9:J9"/>
    <mergeCell ref="H10:J10"/>
    <mergeCell ref="H11:J11"/>
    <mergeCell ref="K6:K8"/>
    <mergeCell ref="AE25:AE26"/>
    <mergeCell ref="R24:R26"/>
    <mergeCell ref="O6:O8"/>
    <mergeCell ref="A59:D59"/>
    <mergeCell ref="C11:D11"/>
    <mergeCell ref="C10:D10"/>
    <mergeCell ref="C12:D12"/>
    <mergeCell ref="A1:J1"/>
    <mergeCell ref="C13:D13"/>
    <mergeCell ref="C6:D6"/>
    <mergeCell ref="C7:D7"/>
    <mergeCell ref="C8:D8"/>
    <mergeCell ref="C9:D9"/>
  </mergeCells>
  <printOptions/>
  <pageMargins left="0.75" right="0.41" top="0.5" bottom="0.55" header="0.5" footer="0.5"/>
  <pageSetup fitToHeight="3" fitToWidth="1" orientation="landscape" scale="27"/>
  <headerFooter alignWithMargins="0">
    <oddFooter>&amp;L^&amp;C&amp;D - Page &amp;P&amp;R</oddFooter>
  </headerFooter>
  <ignoredErrors>
    <ignoredError sqref="A47:A53 A37:A43 A27:A33 S92:AD92 T63 O92:Q92 M96 M91 J62:Q62 AG63:AQ63 K63:Q63 AF91:AQ92 U63 G91 H91 I91 J91 K91 L91 N91:Q91 S91:AD91 T93:AD93 S11:S17 T62:U62 J63 V63:AD63 AG62:AQ62 I63 H63 I62 G62:G63 H62 L96 N96:Q96 S95:AD96 AF95:AQ96 V62:AB62 AG93:AQ93" unlockedFormula="1"/>
    <ignoredError sqref="R51 S69:AD69 H69:Q69 G69 F69" formula="1"/>
  </ignoredErrors>
  <drawing r:id="rId3"/>
  <legacyDrawing r:id="rId2"/>
</worksheet>
</file>

<file path=xl/worksheets/sheet5.xml><?xml version="1.0" encoding="utf-8"?>
<worksheet xmlns="http://schemas.openxmlformats.org/spreadsheetml/2006/main" xmlns:r="http://schemas.openxmlformats.org/officeDocument/2006/relationships">
  <sheetPr transitionEvaluation="1"/>
  <dimension ref="A1:AY115"/>
  <sheetViews>
    <sheetView defaultGridColor="0" zoomScale="150" zoomScaleNormal="150" zoomScalePageLayoutView="0" colorId="22" workbookViewId="0" topLeftCell="AN64">
      <selection activeCell="V65" sqref="V65"/>
    </sheetView>
  </sheetViews>
  <sheetFormatPr defaultColWidth="7.57421875" defaultRowHeight="16.5"/>
  <cols>
    <col min="1" max="1" width="30.421875" style="69" customWidth="1"/>
    <col min="2" max="2" width="10.8515625" style="69" customWidth="1"/>
    <col min="3" max="7" width="10.57421875" style="69" customWidth="1"/>
    <col min="8" max="8" width="11.8515625" style="69" customWidth="1"/>
    <col min="9" max="32" width="10.57421875" style="69" customWidth="1"/>
    <col min="33" max="34" width="12.8515625" style="69" customWidth="1"/>
    <col min="35" max="45" width="10.57421875" style="69" customWidth="1"/>
    <col min="46" max="46" width="12.421875" style="69" customWidth="1"/>
    <col min="47" max="47" width="12.8515625" style="69" customWidth="1"/>
    <col min="48" max="16384" width="7.57421875" style="69" customWidth="1"/>
  </cols>
  <sheetData>
    <row r="1" spans="1:48" ht="21.75" customHeight="1" thickBot="1">
      <c r="A1" s="673" t="s">
        <v>343</v>
      </c>
      <c r="B1" s="674"/>
      <c r="C1" s="674"/>
      <c r="D1" s="674"/>
      <c r="E1" s="674"/>
      <c r="F1" s="674"/>
      <c r="G1" s="674"/>
      <c r="H1" s="674"/>
      <c r="I1" s="674"/>
      <c r="J1" s="674"/>
      <c r="K1" s="674"/>
      <c r="L1" s="674"/>
      <c r="M1" s="675"/>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row>
    <row r="2" spans="1:48" ht="30" customHeight="1">
      <c r="A2" s="162" t="s">
        <v>345</v>
      </c>
      <c r="B2" s="68"/>
      <c r="C2" s="68"/>
      <c r="D2" s="68"/>
      <c r="E2" s="68"/>
      <c r="F2" s="78"/>
      <c r="G2" s="68"/>
      <c r="H2" s="68"/>
      <c r="I2" s="392" t="s">
        <v>11</v>
      </c>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row>
    <row r="3" spans="1:48" ht="15" customHeight="1">
      <c r="A3" s="202" t="s">
        <v>40</v>
      </c>
      <c r="B3" s="221">
        <f>'Mortgage Calc'!H14</f>
        <v>44835</v>
      </c>
      <c r="C3" s="68"/>
      <c r="D3" s="68"/>
      <c r="E3" s="68"/>
      <c r="F3" s="68"/>
      <c r="G3" s="87" t="s">
        <v>41</v>
      </c>
      <c r="H3" s="87"/>
      <c r="I3" s="393" t="s">
        <v>66</v>
      </c>
      <c r="J3" s="163" t="s">
        <v>33</v>
      </c>
      <c r="K3" s="68"/>
      <c r="L3" s="68"/>
      <c r="M3" s="68"/>
      <c r="N3" s="68"/>
      <c r="O3" s="68"/>
      <c r="P3" s="68"/>
      <c r="Q3" s="68"/>
      <c r="R3" s="68"/>
      <c r="S3" s="68"/>
      <c r="T3" s="68"/>
      <c r="U3" s="68"/>
      <c r="V3" s="68"/>
      <c r="W3" s="68"/>
      <c r="X3" s="68"/>
      <c r="Y3" s="68"/>
      <c r="Z3" s="528" t="s">
        <v>337</v>
      </c>
      <c r="AA3" s="529"/>
      <c r="AB3" s="529"/>
      <c r="AC3" s="529"/>
      <c r="AD3" s="68"/>
      <c r="AE3" s="68"/>
      <c r="AF3" s="68"/>
      <c r="AG3" s="68"/>
      <c r="AH3" s="68"/>
      <c r="AI3" s="68"/>
      <c r="AJ3" s="68"/>
      <c r="AK3" s="68"/>
      <c r="AL3" s="68"/>
      <c r="AM3" s="528" t="s">
        <v>338</v>
      </c>
      <c r="AN3" s="529"/>
      <c r="AO3" s="529"/>
      <c r="AP3" s="529"/>
      <c r="AQ3" s="68"/>
      <c r="AR3" s="68"/>
      <c r="AS3" s="68"/>
      <c r="AT3" s="68"/>
      <c r="AU3" s="68"/>
      <c r="AV3" s="68"/>
    </row>
    <row r="4" spans="1:48" ht="13.5" customHeight="1">
      <c r="A4" s="68"/>
      <c r="B4" s="68"/>
      <c r="C4" s="68"/>
      <c r="D4" s="68"/>
      <c r="E4" s="68"/>
      <c r="F4" s="68"/>
      <c r="G4" s="164" t="s">
        <v>42</v>
      </c>
      <c r="H4" s="391" t="s">
        <v>13</v>
      </c>
      <c r="I4" s="393" t="s">
        <v>12</v>
      </c>
      <c r="J4" s="68"/>
      <c r="K4" s="68"/>
      <c r="L4" s="68"/>
      <c r="M4" s="68"/>
      <c r="N4" s="68"/>
      <c r="O4" s="68"/>
      <c r="P4" s="68"/>
      <c r="Q4" s="68"/>
      <c r="R4" s="68"/>
      <c r="S4" s="68"/>
      <c r="T4" s="68"/>
      <c r="U4" s="68"/>
      <c r="V4" s="68"/>
      <c r="W4" s="68"/>
      <c r="X4" s="68"/>
      <c r="Y4" s="68"/>
      <c r="Z4" s="68"/>
      <c r="AA4" s="68"/>
      <c r="AB4" s="68"/>
      <c r="AC4" s="68"/>
      <c r="AD4" s="68"/>
      <c r="AE4" s="68"/>
      <c r="AF4" s="68"/>
      <c r="AG4" s="68"/>
      <c r="AH4" s="87"/>
      <c r="AI4" s="68"/>
      <c r="AJ4" s="68"/>
      <c r="AK4" s="68"/>
      <c r="AL4" s="68"/>
      <c r="AM4" s="68"/>
      <c r="AN4" s="68"/>
      <c r="AO4" s="68"/>
      <c r="AP4" s="68"/>
      <c r="AQ4" s="68"/>
      <c r="AR4" s="68"/>
      <c r="AS4" s="68"/>
      <c r="AT4" s="68"/>
      <c r="AU4" s="87"/>
      <c r="AV4" s="68"/>
    </row>
    <row r="5" spans="1:48" s="89" customFormat="1" ht="33" customHeight="1" thickBot="1">
      <c r="A5" s="165"/>
      <c r="B5" s="621">
        <f>C5-30</f>
        <v>44655</v>
      </c>
      <c r="C5" s="621">
        <f>D5-30</f>
        <v>44685</v>
      </c>
      <c r="D5" s="621">
        <f>E5-30</f>
        <v>44715</v>
      </c>
      <c r="E5" s="621">
        <f>F5-30</f>
        <v>44745</v>
      </c>
      <c r="F5" s="621">
        <f>G5-30</f>
        <v>44775</v>
      </c>
      <c r="G5" s="621">
        <f>I5-30</f>
        <v>44805</v>
      </c>
      <c r="H5" s="394" t="s">
        <v>247</v>
      </c>
      <c r="I5" s="395">
        <f>'Mortgage Calc'!$H$16</f>
        <v>44835</v>
      </c>
      <c r="J5" s="620">
        <f>I5+31</f>
        <v>44866</v>
      </c>
      <c r="K5" s="621">
        <f>J5+31</f>
        <v>44897</v>
      </c>
      <c r="L5" s="621">
        <f aca="true" t="shared" si="0" ref="L5:T5">K5+31</f>
        <v>44928</v>
      </c>
      <c r="M5" s="621">
        <f t="shared" si="0"/>
        <v>44959</v>
      </c>
      <c r="N5" s="621">
        <f t="shared" si="0"/>
        <v>44990</v>
      </c>
      <c r="O5" s="621">
        <f t="shared" si="0"/>
        <v>45021</v>
      </c>
      <c r="P5" s="621">
        <f t="shared" si="0"/>
        <v>45052</v>
      </c>
      <c r="Q5" s="621">
        <f t="shared" si="0"/>
        <v>45083</v>
      </c>
      <c r="R5" s="621">
        <f t="shared" si="0"/>
        <v>45114</v>
      </c>
      <c r="S5" s="621">
        <f t="shared" si="0"/>
        <v>45145</v>
      </c>
      <c r="T5" s="622">
        <f t="shared" si="0"/>
        <v>45176</v>
      </c>
      <c r="U5" s="397" t="s">
        <v>249</v>
      </c>
      <c r="V5" s="621">
        <f>T5+31</f>
        <v>45207</v>
      </c>
      <c r="W5" s="621">
        <f>V5+31</f>
        <v>45238</v>
      </c>
      <c r="X5" s="621">
        <f aca="true" t="shared" si="1" ref="X5:AG5">W5+31</f>
        <v>45269</v>
      </c>
      <c r="Y5" s="621">
        <f t="shared" si="1"/>
        <v>45300</v>
      </c>
      <c r="Z5" s="621">
        <f t="shared" si="1"/>
        <v>45331</v>
      </c>
      <c r="AA5" s="621">
        <f t="shared" si="1"/>
        <v>45362</v>
      </c>
      <c r="AB5" s="621">
        <f t="shared" si="1"/>
        <v>45393</v>
      </c>
      <c r="AC5" s="621">
        <f t="shared" si="1"/>
        <v>45424</v>
      </c>
      <c r="AD5" s="621">
        <f t="shared" si="1"/>
        <v>45455</v>
      </c>
      <c r="AE5" s="621">
        <f t="shared" si="1"/>
        <v>45486</v>
      </c>
      <c r="AF5" s="621">
        <f t="shared" si="1"/>
        <v>45517</v>
      </c>
      <c r="AG5" s="621">
        <f t="shared" si="1"/>
        <v>45548</v>
      </c>
      <c r="AH5" s="397" t="s">
        <v>249</v>
      </c>
      <c r="AI5" s="621">
        <f>AG5+30</f>
        <v>45578</v>
      </c>
      <c r="AJ5" s="621">
        <f aca="true" t="shared" si="2" ref="AJ5:AT5">AI5+30</f>
        <v>45608</v>
      </c>
      <c r="AK5" s="621">
        <f t="shared" si="2"/>
        <v>45638</v>
      </c>
      <c r="AL5" s="621">
        <f t="shared" si="2"/>
        <v>45668</v>
      </c>
      <c r="AM5" s="621">
        <f t="shared" si="2"/>
        <v>45698</v>
      </c>
      <c r="AN5" s="621">
        <f t="shared" si="2"/>
        <v>45728</v>
      </c>
      <c r="AO5" s="621">
        <f t="shared" si="2"/>
        <v>45758</v>
      </c>
      <c r="AP5" s="621">
        <f t="shared" si="2"/>
        <v>45788</v>
      </c>
      <c r="AQ5" s="621">
        <f t="shared" si="2"/>
        <v>45818</v>
      </c>
      <c r="AR5" s="621">
        <f t="shared" si="2"/>
        <v>45848</v>
      </c>
      <c r="AS5" s="621">
        <f t="shared" si="2"/>
        <v>45878</v>
      </c>
      <c r="AT5" s="621">
        <f t="shared" si="2"/>
        <v>45908</v>
      </c>
      <c r="AU5" s="397" t="s">
        <v>249</v>
      </c>
      <c r="AV5" s="75"/>
    </row>
    <row r="6" spans="1:48" ht="21" customHeight="1" thickTop="1">
      <c r="A6" s="68"/>
      <c r="B6" s="68"/>
      <c r="C6" s="68"/>
      <c r="D6" s="68"/>
      <c r="E6" s="68"/>
      <c r="F6" s="77" t="s">
        <v>43</v>
      </c>
      <c r="G6" s="239">
        <v>20</v>
      </c>
      <c r="H6" s="96"/>
      <c r="I6" s="96"/>
      <c r="J6" s="68"/>
      <c r="K6" s="68"/>
      <c r="L6" s="68"/>
      <c r="M6" s="68"/>
      <c r="N6" s="68"/>
      <c r="O6" s="68"/>
      <c r="P6" s="68"/>
      <c r="Q6" s="68"/>
      <c r="R6" s="68"/>
      <c r="S6" s="68"/>
      <c r="T6" s="68"/>
      <c r="U6" s="183"/>
      <c r="V6" s="68"/>
      <c r="W6" s="68"/>
      <c r="X6" s="68"/>
      <c r="Y6" s="68"/>
      <c r="Z6" s="68"/>
      <c r="AA6" s="68"/>
      <c r="AB6" s="68"/>
      <c r="AC6" s="68"/>
      <c r="AD6" s="68"/>
      <c r="AE6" s="68"/>
      <c r="AF6" s="68"/>
      <c r="AG6" s="68"/>
      <c r="AH6" s="167"/>
      <c r="AI6" s="68"/>
      <c r="AJ6" s="68"/>
      <c r="AK6" s="68"/>
      <c r="AL6" s="68"/>
      <c r="AM6" s="68"/>
      <c r="AN6" s="68"/>
      <c r="AO6" s="68"/>
      <c r="AP6" s="68"/>
      <c r="AQ6" s="68"/>
      <c r="AR6" s="68"/>
      <c r="AS6" s="68"/>
      <c r="AT6" s="68"/>
      <c r="AU6" s="167"/>
      <c r="AV6" s="68"/>
    </row>
    <row r="7" spans="1:48" ht="16.5">
      <c r="A7" s="86"/>
      <c r="B7" s="168"/>
      <c r="C7" s="168"/>
      <c r="D7" s="168"/>
      <c r="E7" s="168"/>
      <c r="F7" s="68"/>
      <c r="U7" s="183"/>
      <c r="W7" s="168"/>
      <c r="X7" s="168"/>
      <c r="Y7" s="168"/>
      <c r="Z7" s="168"/>
      <c r="AA7" s="168"/>
      <c r="AB7" s="168"/>
      <c r="AC7" s="168"/>
      <c r="AD7" s="168"/>
      <c r="AE7" s="168"/>
      <c r="AF7" s="168"/>
      <c r="AG7" s="168"/>
      <c r="AH7" s="167"/>
      <c r="AJ7" s="168"/>
      <c r="AK7" s="168"/>
      <c r="AL7" s="168"/>
      <c r="AM7" s="168"/>
      <c r="AN7" s="168"/>
      <c r="AO7" s="168"/>
      <c r="AP7" s="168"/>
      <c r="AQ7" s="168"/>
      <c r="AR7" s="168"/>
      <c r="AS7" s="168"/>
      <c r="AT7" s="168"/>
      <c r="AU7" s="167"/>
      <c r="AV7" s="68"/>
    </row>
    <row r="8" spans="1:48" ht="29.25" customHeight="1">
      <c r="A8" s="90" t="s">
        <v>44</v>
      </c>
      <c r="B8" s="168"/>
      <c r="C8" s="247" t="s">
        <v>153</v>
      </c>
      <c r="D8" s="141"/>
      <c r="E8" s="141"/>
      <c r="F8" s="141"/>
      <c r="G8" s="141"/>
      <c r="H8" s="141"/>
      <c r="I8" s="141"/>
      <c r="J8" s="141"/>
      <c r="K8" s="141"/>
      <c r="L8" s="141"/>
      <c r="M8" s="141"/>
      <c r="N8" s="141"/>
      <c r="O8" s="141"/>
      <c r="P8" s="141"/>
      <c r="Q8" s="141"/>
      <c r="R8" s="141"/>
      <c r="S8" s="141"/>
      <c r="T8" s="168"/>
      <c r="U8" s="183"/>
      <c r="V8" s="168" t="s">
        <v>45</v>
      </c>
      <c r="W8" s="168"/>
      <c r="X8" s="168"/>
      <c r="Y8" s="168"/>
      <c r="Z8" s="168"/>
      <c r="AA8" s="168"/>
      <c r="AB8" s="168"/>
      <c r="AC8" s="168"/>
      <c r="AD8" s="168"/>
      <c r="AE8" s="168"/>
      <c r="AF8" s="168"/>
      <c r="AG8" s="168"/>
      <c r="AH8" s="167"/>
      <c r="AI8" s="168" t="s">
        <v>45</v>
      </c>
      <c r="AJ8" s="168"/>
      <c r="AK8" s="168"/>
      <c r="AL8" s="168"/>
      <c r="AM8" s="168"/>
      <c r="AN8" s="168"/>
      <c r="AO8" s="168"/>
      <c r="AP8" s="168"/>
      <c r="AQ8" s="168"/>
      <c r="AR8" s="168"/>
      <c r="AS8" s="168"/>
      <c r="AT8" s="168"/>
      <c r="AU8" s="167"/>
      <c r="AV8" s="68"/>
    </row>
    <row r="9" spans="1:48" ht="24.75" customHeight="1" thickBot="1">
      <c r="A9" s="68"/>
      <c r="B9" s="168"/>
      <c r="C9" s="247" t="s">
        <v>245</v>
      </c>
      <c r="D9" s="141"/>
      <c r="E9" s="141"/>
      <c r="F9" s="141"/>
      <c r="G9" s="141"/>
      <c r="H9" s="141"/>
      <c r="I9" s="141"/>
      <c r="J9" s="141"/>
      <c r="K9" s="141"/>
      <c r="L9" s="141"/>
      <c r="M9" s="141"/>
      <c r="N9" s="141"/>
      <c r="O9" s="141"/>
      <c r="P9" s="141"/>
      <c r="Q9" s="141"/>
      <c r="R9" s="141"/>
      <c r="S9" s="141"/>
      <c r="T9" s="168"/>
      <c r="U9" s="183"/>
      <c r="V9" s="168" t="s">
        <v>46</v>
      </c>
      <c r="W9" s="169"/>
      <c r="X9" s="170"/>
      <c r="Y9" s="169"/>
      <c r="Z9" s="169"/>
      <c r="AA9" s="169"/>
      <c r="AB9" s="169"/>
      <c r="AC9" s="169"/>
      <c r="AD9" s="169"/>
      <c r="AE9" s="169"/>
      <c r="AF9" s="169"/>
      <c r="AG9" s="169"/>
      <c r="AH9" s="171"/>
      <c r="AI9" s="168" t="s">
        <v>279</v>
      </c>
      <c r="AJ9" s="169"/>
      <c r="AK9" s="170"/>
      <c r="AL9" s="169"/>
      <c r="AM9" s="169"/>
      <c r="AN9" s="169"/>
      <c r="AO9" s="169"/>
      <c r="AP9" s="169"/>
      <c r="AQ9" s="169"/>
      <c r="AR9" s="169"/>
      <c r="AS9" s="169"/>
      <c r="AT9" s="169"/>
      <c r="AU9" s="171"/>
      <c r="AV9" s="68"/>
    </row>
    <row r="10" spans="1:48" ht="20.25" customHeight="1">
      <c r="A10" s="296" t="s">
        <v>193</v>
      </c>
      <c r="B10" s="99"/>
      <c r="C10" s="99"/>
      <c r="D10" s="99"/>
      <c r="E10" s="99"/>
      <c r="F10" s="99"/>
      <c r="G10" s="99"/>
      <c r="H10" s="550">
        <f>ROUND(SUM(B10:G10),0)</f>
        <v>0</v>
      </c>
      <c r="I10" s="233">
        <f>MAX('CC Factors'!$T$7*('CC Factors'!F34+'CC Factors'!F64+'CC Factors'!F77),0)</f>
        <v>18500</v>
      </c>
      <c r="J10" s="92">
        <f>MAX('CC Factors'!$T$7*(('CC Factors'!G34-'CC Factors'!F34)+('CC Factors'!G64-'CC Factors'!F64)+('CC Factors'!G77-'CC Factors'!F77)),0)</f>
        <v>0</v>
      </c>
      <c r="K10" s="92">
        <f>MAX('CC Factors'!$T$7*(('CC Factors'!H34-'CC Factors'!G34)+('CC Factors'!H64-'CC Factors'!G64)+('CC Factors'!H77-'CC Factors'!G77)),0)</f>
        <v>0</v>
      </c>
      <c r="L10" s="92">
        <f>MAX('CC Factors'!$T$7*(('CC Factors'!I34-'CC Factors'!H34)+('CC Factors'!I64-'CC Factors'!H64)),0)</f>
        <v>250</v>
      </c>
      <c r="M10" s="92">
        <f>MAX('CC Factors'!$T$7*(('CC Factors'!J34-'CC Factors'!I34)+('CC Factors'!J64-'CC Factors'!I64)),0)</f>
        <v>0</v>
      </c>
      <c r="N10" s="92">
        <f>MAX('CC Factors'!$T$7*(('CC Factors'!K34-'CC Factors'!J34)+('CC Factors'!K64-'CC Factors'!J64)),0)</f>
        <v>0</v>
      </c>
      <c r="O10" s="92">
        <f>MAX('CC Factors'!$T$7*(('CC Factors'!L34-'CC Factors'!K34)+('CC Factors'!L64-'CC Factors'!K64)),0)</f>
        <v>500</v>
      </c>
      <c r="P10" s="92">
        <f>MAX('CC Factors'!$T$7*(('CC Factors'!M34-'CC Factors'!L34)+('CC Factors'!M64-'CC Factors'!L64)),0)</f>
        <v>875</v>
      </c>
      <c r="Q10" s="92">
        <f>MAX('CC Factors'!$T$7*(('CC Factors'!N34-'CC Factors'!M34)+('CC Factors'!N64-'CC Factors'!M64)),0)</f>
        <v>125</v>
      </c>
      <c r="R10" s="92">
        <f>MAX('CC Factors'!$T$7*(('CC Factors'!O34-'CC Factors'!N34)+('CC Factors'!O64-'CC Factors'!N64)),0)</f>
        <v>125</v>
      </c>
      <c r="S10" s="92">
        <f>MAX('CC Factors'!$T$7*(('CC Factors'!P34-'CC Factors'!O34)+('CC Factors'!P64-'CC Factors'!O64)),0)</f>
        <v>125</v>
      </c>
      <c r="T10" s="92">
        <f>MAX('CC Factors'!$T$7*(('CC Factors'!Q34-'CC Factors'!P34)+('CC Factors'!Q64-'CC Factors'!P64)),0)</f>
        <v>1000</v>
      </c>
      <c r="U10" s="536">
        <f>SUM(I10:T10)</f>
        <v>21500</v>
      </c>
      <c r="V10" s="172">
        <f>MAX('CC Factors'!$T$7*('CC Factors'!S34+'CC Factors'!S64+'CC Factors'!S77),0)</f>
        <v>23375</v>
      </c>
      <c r="W10" s="252">
        <f>MAX('CC Factors'!$T$7*(('CC Factors'!T34-'CC Factors'!S34)+('CC Factors'!T64-'CC Factors'!S64))+('CC Factors'!T77-'CC Factors'!S77),0)</f>
        <v>0</v>
      </c>
      <c r="X10" s="252">
        <f>MAX('CC Factors'!$T$7*(('CC Factors'!U34-'CC Factors'!T34)+('CC Factors'!U64-'CC Factors'!T64))+('CC Factors'!U77-'CC Factors'!T77),0)</f>
        <v>0</v>
      </c>
      <c r="Y10" s="252">
        <f>MAX('CC Factors'!$T$7*(('CC Factors'!V34-'CC Factors'!U34)+('CC Factors'!V64-'CC Factors'!U64))+('CC Factors'!V77-'CC Factors'!U77),0)</f>
        <v>250</v>
      </c>
      <c r="Z10" s="252">
        <f>MAX('CC Factors'!$T$7*(('CC Factors'!W34-'CC Factors'!V34)+('CC Factors'!W64-'CC Factors'!V64))+('CC Factors'!W77-'CC Factors'!V77),0)</f>
        <v>0</v>
      </c>
      <c r="AA10" s="252">
        <f>MAX('CC Factors'!$T$7*(('CC Factors'!X34-'CC Factors'!W34)+('CC Factors'!X64-'CC Factors'!W64))+('CC Factors'!X77-'CC Factors'!W77),0)</f>
        <v>0</v>
      </c>
      <c r="AB10" s="252">
        <f>MAX('CC Factors'!$T$7*(('CC Factors'!Y34-'CC Factors'!X34)+('CC Factors'!Y64-'CC Factors'!X64))+('CC Factors'!Y77-'CC Factors'!X77),0)</f>
        <v>500</v>
      </c>
      <c r="AC10" s="252">
        <f>MAX('CC Factors'!$T$7*(('CC Factors'!Z34-'CC Factors'!Y34)+('CC Factors'!Z64-'CC Factors'!Y64))+('CC Factors'!Z77-'CC Factors'!Y77),0)</f>
        <v>875</v>
      </c>
      <c r="AD10" s="252">
        <f>MAX('CC Factors'!$T$7*(('CC Factors'!AA34-'CC Factors'!Z34)+('CC Factors'!AA64-'CC Factors'!Z64))+('CC Factors'!AA77-'CC Factors'!Z77),0)</f>
        <v>75</v>
      </c>
      <c r="AE10" s="252">
        <f>MAX('CC Factors'!$T$7*(('CC Factors'!AB34-'CC Factors'!AA34)+('CC Factors'!AB64-'CC Factors'!AA64))+('CC Factors'!AB77-'CC Factors'!AA77),0)</f>
        <v>125</v>
      </c>
      <c r="AF10" s="252">
        <f>MAX('CC Factors'!$T$7*(('CC Factors'!AC34-'CC Factors'!AB34)+('CC Factors'!AC64-'CC Factors'!AB64))+('CC Factors'!AC77-'CC Factors'!AB77),0)</f>
        <v>125</v>
      </c>
      <c r="AG10" s="252">
        <f>MAX('CC Factors'!$T$7*(('CC Factors'!AD34-'CC Factors'!AC34)+('CC Factors'!AD64-'CC Factors'!AC64))+('CC Factors'!AD77-'CC Factors'!AC77),0)</f>
        <v>550</v>
      </c>
      <c r="AH10" s="536">
        <f>SUM(V10:AG10)</f>
        <v>25875</v>
      </c>
      <c r="AI10" s="172">
        <f>MAX('CC Factors'!$T$7*('CC Factors'!AF34+'CC Factors'!AF64+'CC Factors'!AF77),0)</f>
        <v>26250</v>
      </c>
      <c r="AJ10" s="252">
        <f>MAX('CC Factors'!$T$7*(('CC Factors'!AG34-'CC Factors'!AF34)+('CC Factors'!AG64-'CC Factors'!AF64))+('CC Factors'!AG77-'CC Factors'!AF77),0)</f>
        <v>0</v>
      </c>
      <c r="AK10" s="252">
        <f>MAX('CC Factors'!$T$7*(('CC Factors'!AH34-'CC Factors'!AG34)+('CC Factors'!AH64-'CC Factors'!AG64))+('CC Factors'!AH77-'CC Factors'!AG77),0)</f>
        <v>0</v>
      </c>
      <c r="AL10" s="252">
        <f>MAX('CC Factors'!$T$7*(('CC Factors'!AI34-'CC Factors'!AH34)+('CC Factors'!AI64-'CC Factors'!AH64))+('CC Factors'!AI77-'CC Factors'!AH77),0)</f>
        <v>125</v>
      </c>
      <c r="AM10" s="252">
        <f>MAX('CC Factors'!$T$7*(('CC Factors'!AJ34-'CC Factors'!AI34)+('CC Factors'!AJ64-'CC Factors'!AI64))+('CC Factors'!AJ77-'CC Factors'!AI77),0)</f>
        <v>0</v>
      </c>
      <c r="AN10" s="252">
        <f>MAX('CC Factors'!$T$7*(('CC Factors'!AK34-'CC Factors'!AJ34)+('CC Factors'!AK64-'CC Factors'!AJ64))+('CC Factors'!AK77-'CC Factors'!AJ77),0)</f>
        <v>0</v>
      </c>
      <c r="AO10" s="252">
        <f>MAX('CC Factors'!$T$7*(('CC Factors'!AL34-'CC Factors'!AK34)+('CC Factors'!AL64-'CC Factors'!AK64))+('CC Factors'!AL77-'CC Factors'!AK77),0)</f>
        <v>125</v>
      </c>
      <c r="AP10" s="252">
        <f>MAX('CC Factors'!$T$7*(('CC Factors'!AM34-'CC Factors'!AL34)+('CC Factors'!AM64-'CC Factors'!AL64))+('CC Factors'!AM77-'CC Factors'!AL77),0)</f>
        <v>1000</v>
      </c>
      <c r="AQ10" s="252">
        <f>MAX('CC Factors'!$T$7*(('CC Factors'!AN34-'CC Factors'!AM34)+('CC Factors'!AN64-'CC Factors'!AM64))+('CC Factors'!AN77-'CC Factors'!AM77),0)</f>
        <v>75</v>
      </c>
      <c r="AR10" s="252">
        <f>MAX('CC Factors'!$T$7*(('CC Factors'!AO34-'CC Factors'!AN34)+('CC Factors'!AO64-'CC Factors'!AN64))+('CC Factors'!AO77-'CC Factors'!AN77),0)</f>
        <v>0</v>
      </c>
      <c r="AS10" s="252">
        <f>MAX('CC Factors'!$T$7*(('CC Factors'!AP34-'CC Factors'!AO34)+('CC Factors'!AP64-'CC Factors'!AO64))+('CC Factors'!AP77-'CC Factors'!AO77),0)</f>
        <v>125</v>
      </c>
      <c r="AT10" s="252">
        <f>MAX('CC Factors'!$T$7*(('CC Factors'!AQ34-'CC Factors'!AP34)+('CC Factors'!AQ64-'CC Factors'!AP64))+('CC Factors'!AQ77-'CC Factors'!AP77),0)</f>
        <v>50</v>
      </c>
      <c r="AU10" s="536">
        <f>SUM(AI10:AT10)</f>
        <v>27750</v>
      </c>
      <c r="AV10" s="68" t="s">
        <v>193</v>
      </c>
    </row>
    <row r="11" spans="1:48" ht="67.5" customHeight="1">
      <c r="A11" s="68"/>
      <c r="B11" s="174"/>
      <c r="C11" s="175"/>
      <c r="D11" s="175"/>
      <c r="E11" s="174"/>
      <c r="F11" s="176"/>
      <c r="G11" s="176"/>
      <c r="H11" s="176"/>
      <c r="I11" s="176"/>
      <c r="J11" s="176"/>
      <c r="K11" s="176"/>
      <c r="L11" s="402"/>
      <c r="M11" s="403"/>
      <c r="N11" s="403"/>
      <c r="O11" s="403"/>
      <c r="P11" s="403"/>
      <c r="Q11" s="175"/>
      <c r="R11" s="175"/>
      <c r="S11" s="175"/>
      <c r="T11" s="96"/>
      <c r="U11" s="183"/>
      <c r="V11" s="183"/>
      <c r="W11" s="175"/>
      <c r="X11" s="175"/>
      <c r="Y11" s="175"/>
      <c r="Z11" s="175"/>
      <c r="AA11" s="175"/>
      <c r="AB11" s="175"/>
      <c r="AC11" s="175"/>
      <c r="AD11" s="175"/>
      <c r="AE11" s="175"/>
      <c r="AF11" s="175"/>
      <c r="AG11" s="96"/>
      <c r="AH11" s="183"/>
      <c r="AI11" s="175"/>
      <c r="AJ11" s="175"/>
      <c r="AK11" s="175"/>
      <c r="AL11" s="175"/>
      <c r="AM11" s="175"/>
      <c r="AN11" s="175"/>
      <c r="AO11" s="175"/>
      <c r="AP11" s="175"/>
      <c r="AQ11" s="175"/>
      <c r="AR11" s="175"/>
      <c r="AS11" s="175"/>
      <c r="AT11" s="96"/>
      <c r="AU11" s="183"/>
      <c r="AV11" s="68"/>
    </row>
    <row r="12" spans="1:48" ht="27.75" customHeight="1">
      <c r="A12" s="273" t="s">
        <v>81</v>
      </c>
      <c r="B12" s="179"/>
      <c r="C12" s="179"/>
      <c r="D12" s="179"/>
      <c r="E12" s="179"/>
      <c r="I12" s="180" t="s">
        <v>99</v>
      </c>
      <c r="J12" s="181">
        <v>1</v>
      </c>
      <c r="K12" s="182" t="s">
        <v>306</v>
      </c>
      <c r="L12" s="80"/>
      <c r="M12" s="80"/>
      <c r="N12" s="80"/>
      <c r="O12" s="96"/>
      <c r="P12" s="96"/>
      <c r="Q12" s="176"/>
      <c r="R12" s="176"/>
      <c r="S12" s="176"/>
      <c r="T12" s="68"/>
      <c r="U12" s="183"/>
      <c r="V12" s="183"/>
      <c r="W12" s="176"/>
      <c r="X12" s="176"/>
      <c r="Y12" s="175"/>
      <c r="Z12" s="175"/>
      <c r="AA12" s="175"/>
      <c r="AB12" s="175"/>
      <c r="AC12" s="176"/>
      <c r="AD12" s="176"/>
      <c r="AE12" s="176"/>
      <c r="AF12" s="176"/>
      <c r="AG12" s="68"/>
      <c r="AH12" s="183"/>
      <c r="AJ12" s="176"/>
      <c r="AK12" s="176"/>
      <c r="AL12" s="175"/>
      <c r="AM12" s="175"/>
      <c r="AN12" s="175"/>
      <c r="AO12" s="175"/>
      <c r="AP12" s="176"/>
      <c r="AQ12" s="176"/>
      <c r="AR12" s="176"/>
      <c r="AS12" s="176"/>
      <c r="AT12" s="68"/>
      <c r="AU12" s="183"/>
      <c r="AV12" s="178" t="s">
        <v>81</v>
      </c>
    </row>
    <row r="13" spans="1:48" ht="16.5">
      <c r="A13" s="316" t="str">
        <f>'CC Factors'!H9</f>
        <v>Infants (6 wks - 12 months)</v>
      </c>
      <c r="B13" s="99"/>
      <c r="C13" s="99"/>
      <c r="D13" s="99"/>
      <c r="E13" s="99"/>
      <c r="F13" s="99"/>
      <c r="G13" s="99"/>
      <c r="H13" s="550">
        <f aca="true" t="shared" si="3" ref="H13:H19">ROUND(SUM(B13:G13),0)</f>
        <v>0</v>
      </c>
      <c r="I13" s="233">
        <f>ROUND($J$12*'CC Factors'!F27*'CC Factors'!$T11*4.3,0)</f>
        <v>0</v>
      </c>
      <c r="J13" s="232">
        <f>ROUND($J$12*'CC Factors'!G27*'CC Factors'!$T11*4.3,0)</f>
        <v>0</v>
      </c>
      <c r="K13" s="230">
        <f>ROUND($J$12*'CC Factors'!H27*'CC Factors'!$T11*4.3,0)</f>
        <v>0</v>
      </c>
      <c r="L13" s="230">
        <f>ROUND($J$12*'CC Factors'!I27*'CC Factors'!$T11*4.3,0)</f>
        <v>0</v>
      </c>
      <c r="M13" s="230">
        <f>ROUND($J$12*'CC Factors'!J27*'CC Factors'!$T11*4.3,0)</f>
        <v>0</v>
      </c>
      <c r="N13" s="230">
        <f>ROUND($J$12*'CC Factors'!K27*'CC Factors'!$T11*4.3,0)</f>
        <v>0</v>
      </c>
      <c r="O13" s="230">
        <f>ROUND($J$12*'CC Factors'!L27*'CC Factors'!$T11*4.3,0)</f>
        <v>0</v>
      </c>
      <c r="P13" s="230">
        <f>ROUND($J$12*'CC Factors'!M27*'CC Factors'!$T11*4.3,0)</f>
        <v>0</v>
      </c>
      <c r="Q13" s="230">
        <f>ROUND($J$12*'CC Factors'!N27*'CC Factors'!$T11*4.3,0)</f>
        <v>0</v>
      </c>
      <c r="R13" s="230">
        <f>ROUND($J$12*'CC Factors'!O27*'CC Factors'!$T11*4.3,0)</f>
        <v>0</v>
      </c>
      <c r="S13" s="230">
        <f>ROUND($J$12*'CC Factors'!P27*'CC Factors'!$T11*4.3,0)</f>
        <v>0</v>
      </c>
      <c r="T13" s="230">
        <f>ROUND($J$12*'CC Factors'!Q27*'CC Factors'!$T11*4.3,0)</f>
        <v>0</v>
      </c>
      <c r="U13" s="536">
        <f>ROUND(SUM(I13:T13),0)</f>
        <v>0</v>
      </c>
      <c r="V13" s="173">
        <f>ROUND($J$12*'CC Factors'!S27*'CC Factors'!$T11*4.3,0)</f>
        <v>0</v>
      </c>
      <c r="W13" s="92">
        <f>ROUND($J$12*'CC Factors'!T27*'CC Factors'!$T11*4.3,0)</f>
        <v>0</v>
      </c>
      <c r="X13" s="92">
        <f>ROUND($J$12*'CC Factors'!U27*'CC Factors'!$T11*4.3,0)</f>
        <v>0</v>
      </c>
      <c r="Y13" s="92">
        <f>ROUND($J$12*'CC Factors'!V27*'CC Factors'!$T11*4.3,0)</f>
        <v>0</v>
      </c>
      <c r="Z13" s="92">
        <f>ROUND($J$12*'CC Factors'!W27*'CC Factors'!$T11*4.3,0)</f>
        <v>0</v>
      </c>
      <c r="AA13" s="92">
        <f>ROUND($J$12*'CC Factors'!X27*'CC Factors'!$T11*4.3,0)</f>
        <v>0</v>
      </c>
      <c r="AB13" s="92">
        <f>ROUND($J$12*'CC Factors'!Y27*'CC Factors'!$T11*4.3,0)</f>
        <v>0</v>
      </c>
      <c r="AC13" s="92">
        <f>ROUND($J$12*'CC Factors'!Z27*'CC Factors'!$T11*4.3,0)</f>
        <v>0</v>
      </c>
      <c r="AD13" s="92">
        <f>ROUND($J$12*'CC Factors'!AA27*'CC Factors'!$T11*4.3,0)</f>
        <v>0</v>
      </c>
      <c r="AE13" s="92">
        <f>ROUND($J$12*'CC Factors'!AB27*'CC Factors'!$T11*4.3,0)</f>
        <v>0</v>
      </c>
      <c r="AF13" s="92">
        <f>ROUND($J$12*'CC Factors'!AC27*'CC Factors'!$T11*4.3,0)</f>
        <v>0</v>
      </c>
      <c r="AG13" s="93">
        <f>ROUND($J$12*'CC Factors'!AD27*'CC Factors'!$T11*4.3,0)</f>
        <v>0</v>
      </c>
      <c r="AH13" s="536">
        <f>ROUND(SUM(V13:AG13),0)</f>
        <v>0</v>
      </c>
      <c r="AI13" s="173">
        <f>ROUND($J$12*'CC Factors'!AF27*'CC Factors'!$T11*4.3,0)</f>
        <v>0</v>
      </c>
      <c r="AJ13" s="173">
        <f>ROUND($J$12*'CC Factors'!AG27*'CC Factors'!$T11*4.3,0)</f>
        <v>0</v>
      </c>
      <c r="AK13" s="173">
        <f>ROUND($J$12*'CC Factors'!AH27*'CC Factors'!$T11*4.3,0)</f>
        <v>0</v>
      </c>
      <c r="AL13" s="173">
        <f>ROUND($J$12*'CC Factors'!AI27*'CC Factors'!$T11*4.3,0)</f>
        <v>0</v>
      </c>
      <c r="AM13" s="173">
        <f>ROUND($J$12*'CC Factors'!AJ27*'CC Factors'!$T11*4.3,0)</f>
        <v>0</v>
      </c>
      <c r="AN13" s="173">
        <f>ROUND($J$12*'CC Factors'!AK27*'CC Factors'!$T11*4.3,0)</f>
        <v>0</v>
      </c>
      <c r="AO13" s="173">
        <f>ROUND($J$12*'CC Factors'!AL27*'CC Factors'!$T11*4.3,0)</f>
        <v>0</v>
      </c>
      <c r="AP13" s="173">
        <f>ROUND($J$12*'CC Factors'!AM27*'CC Factors'!$T11*4.3,0)</f>
        <v>0</v>
      </c>
      <c r="AQ13" s="173">
        <f>ROUND($J$12*'CC Factors'!AN27*'CC Factors'!$T11*4.3,0)</f>
        <v>0</v>
      </c>
      <c r="AR13" s="173">
        <f>ROUND($J$12*'CC Factors'!AO27*'CC Factors'!$T11*4.3,0)</f>
        <v>0</v>
      </c>
      <c r="AS13" s="173">
        <f>ROUND($J$12*'CC Factors'!AP27*'CC Factors'!$T11*4.3,0)</f>
        <v>0</v>
      </c>
      <c r="AT13" s="173">
        <f>ROUND($J$12*'CC Factors'!AQ27*'CC Factors'!$T11*4.3,0)</f>
        <v>0</v>
      </c>
      <c r="AU13" s="536">
        <f>ROUND(SUM(AI13:AT13),0)</f>
        <v>0</v>
      </c>
      <c r="AV13" s="364" t="str">
        <f>'CC Factors'!$H9</f>
        <v>Infants (6 wks - 12 months)</v>
      </c>
    </row>
    <row r="14" spans="1:48" ht="17.25" thickBot="1">
      <c r="A14" s="316" t="str">
        <f>'CC Factors'!H10</f>
        <v>Toddlers (12mo-24mo)</v>
      </c>
      <c r="B14" s="99"/>
      <c r="C14" s="99"/>
      <c r="D14" s="99"/>
      <c r="E14" s="99"/>
      <c r="F14" s="99"/>
      <c r="G14" s="99"/>
      <c r="H14" s="550">
        <f t="shared" si="3"/>
        <v>0</v>
      </c>
      <c r="I14" s="233">
        <f>ROUND($J$12*'CC Factors'!F28*'CC Factors'!$T12*4.3,0)</f>
        <v>0</v>
      </c>
      <c r="J14" s="232">
        <f>ROUND($J$12*'CC Factors'!G28*'CC Factors'!$T12*4.3,0)</f>
        <v>0</v>
      </c>
      <c r="K14" s="230">
        <f>ROUND($J$12*'CC Factors'!H28*'CC Factors'!$T12*4.3,0)</f>
        <v>0</v>
      </c>
      <c r="L14" s="230">
        <f>ROUND($J$12*'CC Factors'!I28*'CC Factors'!$T12*4.3,0)</f>
        <v>0</v>
      </c>
      <c r="M14" s="230">
        <f>ROUND($J$12*'CC Factors'!J28*'CC Factors'!$T12*4.3,0)</f>
        <v>0</v>
      </c>
      <c r="N14" s="230">
        <f>ROUND($J$12*'CC Factors'!K28*'CC Factors'!$T12*4.3,0)</f>
        <v>0</v>
      </c>
      <c r="O14" s="230">
        <f>ROUND($J$12*'CC Factors'!L28*'CC Factors'!$T12*4.3,0)</f>
        <v>0</v>
      </c>
      <c r="P14" s="230">
        <f>ROUND($J$12*'CC Factors'!M28*'CC Factors'!$T12*4.3,0)</f>
        <v>0</v>
      </c>
      <c r="Q14" s="230">
        <f>ROUND($J$12*'CC Factors'!N28*'CC Factors'!$T12*4.3,0)</f>
        <v>0</v>
      </c>
      <c r="R14" s="230">
        <f>ROUND($J$12*'CC Factors'!O28*'CC Factors'!$T12*4.3,0)</f>
        <v>0</v>
      </c>
      <c r="S14" s="230">
        <f>ROUND($J$12*'CC Factors'!P28*'CC Factors'!$T12*4.3,0)</f>
        <v>0</v>
      </c>
      <c r="T14" s="230">
        <f>ROUND($J$12*'CC Factors'!Q28*'CC Factors'!$T12*4.3,0)</f>
        <v>0</v>
      </c>
      <c r="U14" s="547">
        <f aca="true" t="shared" si="4" ref="U14:U19">ROUND(SUM(I14:T14),0)</f>
        <v>0</v>
      </c>
      <c r="V14" s="173">
        <f>ROUND($J$12*'CC Factors'!S28*'CC Factors'!$T12*4.3,0)</f>
        <v>0</v>
      </c>
      <c r="W14" s="92">
        <f>ROUND($J$12*'CC Factors'!T28*'CC Factors'!$T12*4.3,0)</f>
        <v>0</v>
      </c>
      <c r="X14" s="92">
        <f>ROUND($J$12*'CC Factors'!U28*'CC Factors'!$T12*4.3,0)</f>
        <v>0</v>
      </c>
      <c r="Y14" s="92">
        <f>ROUND($J$12*'CC Factors'!V28*'CC Factors'!$T12*4.3,0)</f>
        <v>0</v>
      </c>
      <c r="Z14" s="92">
        <f>ROUND($J$12*'CC Factors'!W28*'CC Factors'!$T12*4.3,0)</f>
        <v>0</v>
      </c>
      <c r="AA14" s="92">
        <f>ROUND($J$12*'CC Factors'!X28*'CC Factors'!$T12*4.3,0)</f>
        <v>0</v>
      </c>
      <c r="AB14" s="92">
        <f>ROUND($J$12*'CC Factors'!Y28*'CC Factors'!$T12*4.3,0)</f>
        <v>0</v>
      </c>
      <c r="AC14" s="92">
        <f>ROUND($J$12*'CC Factors'!Z28*'CC Factors'!$T12*4.3,0)</f>
        <v>0</v>
      </c>
      <c r="AD14" s="92">
        <f>ROUND($J$12*'CC Factors'!AA28*'CC Factors'!$T12*4.3,0)</f>
        <v>0</v>
      </c>
      <c r="AE14" s="92">
        <f>ROUND($J$12*'CC Factors'!AB28*'CC Factors'!$T12*4.3,0)</f>
        <v>0</v>
      </c>
      <c r="AF14" s="92">
        <f>ROUND($J$12*'CC Factors'!AC28*'CC Factors'!$T12*4.3,0)</f>
        <v>0</v>
      </c>
      <c r="AG14" s="93">
        <f>ROUND($J$12*'CC Factors'!AD28*'CC Factors'!$T12*4.3,0)</f>
        <v>0</v>
      </c>
      <c r="AH14" s="536">
        <f aca="true" t="shared" si="5" ref="AH14:AH19">ROUND(SUM(V14:AG14),0)</f>
        <v>0</v>
      </c>
      <c r="AI14" s="173">
        <f>ROUND($J$12*'CC Factors'!AF28*'CC Factors'!$T12*4.3,0)</f>
        <v>0</v>
      </c>
      <c r="AJ14" s="173">
        <f>ROUND($J$12*'CC Factors'!AG28*'CC Factors'!$T12*4.3,0)</f>
        <v>0</v>
      </c>
      <c r="AK14" s="173">
        <f>ROUND($J$12*'CC Factors'!AH28*'CC Factors'!$T12*4.3,0)</f>
        <v>0</v>
      </c>
      <c r="AL14" s="173">
        <f>ROUND($J$12*'CC Factors'!AI28*'CC Factors'!$T12*4.3,0)</f>
        <v>0</v>
      </c>
      <c r="AM14" s="173">
        <f>ROUND($J$12*'CC Factors'!AJ28*'CC Factors'!$T12*4.3,0)</f>
        <v>0</v>
      </c>
      <c r="AN14" s="173">
        <f>ROUND($J$12*'CC Factors'!AK28*'CC Factors'!$T12*4.3,0)</f>
        <v>0</v>
      </c>
      <c r="AO14" s="173">
        <f>ROUND($J$12*'CC Factors'!AL28*'CC Factors'!$T12*4.3,0)</f>
        <v>0</v>
      </c>
      <c r="AP14" s="173">
        <f>ROUND($J$12*'CC Factors'!AM28*'CC Factors'!$T12*4.3,0)</f>
        <v>0</v>
      </c>
      <c r="AQ14" s="173">
        <f>ROUND($J$12*'CC Factors'!AN28*'CC Factors'!$T12*4.3,0)</f>
        <v>0</v>
      </c>
      <c r="AR14" s="173">
        <f>ROUND($J$12*'CC Factors'!AO28*'CC Factors'!$T12*4.3,0)</f>
        <v>0</v>
      </c>
      <c r="AS14" s="173">
        <f>ROUND($J$12*'CC Factors'!AP28*'CC Factors'!$T12*4.3,0)</f>
        <v>0</v>
      </c>
      <c r="AT14" s="173">
        <f>ROUND($J$12*'CC Factors'!AQ28*'CC Factors'!$T12*4.3,0)</f>
        <v>0</v>
      </c>
      <c r="AU14" s="548">
        <f aca="true" t="shared" si="6" ref="AU14:AU19">ROUND(SUM(AI14:AT14),0)</f>
        <v>0</v>
      </c>
      <c r="AV14" s="364" t="str">
        <f>'CC Factors'!$H10</f>
        <v>Toddlers (12mo-24mo)</v>
      </c>
    </row>
    <row r="15" spans="1:48" ht="17.25" thickTop="1">
      <c r="A15" s="316" t="str">
        <f>'CC Factors'!H11</f>
        <v>Toddlers (24mo to 36 mo)</v>
      </c>
      <c r="B15" s="99"/>
      <c r="C15" s="99"/>
      <c r="D15" s="99"/>
      <c r="E15" s="99"/>
      <c r="F15" s="99"/>
      <c r="G15" s="99"/>
      <c r="H15" s="550">
        <f t="shared" si="3"/>
        <v>0</v>
      </c>
      <c r="I15" s="233">
        <f>ROUND($J$12*'CC Factors'!F29*'CC Factors'!$T13*4.3,0)</f>
        <v>10320</v>
      </c>
      <c r="J15" s="232">
        <f>ROUND($J$12*'CC Factors'!G29*'CC Factors'!$T13*4.3,0)</f>
        <v>10320</v>
      </c>
      <c r="K15" s="230">
        <f>ROUND($J$12*'CC Factors'!H29*'CC Factors'!$T13*4.3,0)</f>
        <v>10320</v>
      </c>
      <c r="L15" s="230">
        <f>ROUND($J$12*'CC Factors'!I29*'CC Factors'!$T13*4.3,0)</f>
        <v>11610</v>
      </c>
      <c r="M15" s="230">
        <f>ROUND($J$12*'CC Factors'!J29*'CC Factors'!$T13*4.3,0)</f>
        <v>11610</v>
      </c>
      <c r="N15" s="230">
        <f>ROUND($J$12*'CC Factors'!K29*'CC Factors'!$T13*4.3,0)</f>
        <v>11610</v>
      </c>
      <c r="O15" s="230">
        <f>ROUND($J$12*'CC Factors'!L29*'CC Factors'!$T13*4.3,0)</f>
        <v>12900</v>
      </c>
      <c r="P15" s="230">
        <f>ROUND($J$12*'CC Factors'!M29*'CC Factors'!$T13*4.3,0)</f>
        <v>12900</v>
      </c>
      <c r="Q15" s="230">
        <f>ROUND($J$12*'CC Factors'!N29*'CC Factors'!$T13*4.3,0)</f>
        <v>12900</v>
      </c>
      <c r="R15" s="230">
        <f>ROUND($J$12*'CC Factors'!O29*'CC Factors'!$T13*4.3,0)</f>
        <v>14190</v>
      </c>
      <c r="S15" s="230">
        <f>ROUND($J$12*'CC Factors'!P29*'CC Factors'!$T13*4.3,0)</f>
        <v>14190</v>
      </c>
      <c r="T15" s="230">
        <f>ROUND($J$12*'CC Factors'!Q29*'CC Factors'!$T13*4.3,0)</f>
        <v>14190</v>
      </c>
      <c r="U15" s="536">
        <f t="shared" si="4"/>
        <v>147060</v>
      </c>
      <c r="V15" s="173">
        <f>ROUND($J$12*'CC Factors'!S29*'CC Factors'!$T13*4.3,0)</f>
        <v>15480</v>
      </c>
      <c r="W15" s="92">
        <f>ROUND($J$12*'CC Factors'!T29*'CC Factors'!$T13*4.3,0)</f>
        <v>15480</v>
      </c>
      <c r="X15" s="92">
        <f>ROUND($J$12*'CC Factors'!U29*'CC Factors'!$T13*4.3,0)</f>
        <v>15480</v>
      </c>
      <c r="Y15" s="92">
        <f>ROUND($J$12*'CC Factors'!V29*'CC Factors'!$T13*4.3,0)</f>
        <v>16770</v>
      </c>
      <c r="Z15" s="92">
        <f>ROUND($J$12*'CC Factors'!W29*'CC Factors'!$T13*4.3,0)</f>
        <v>16770</v>
      </c>
      <c r="AA15" s="92">
        <f>ROUND($J$12*'CC Factors'!X29*'CC Factors'!$T13*4.3,0)</f>
        <v>16770</v>
      </c>
      <c r="AB15" s="92">
        <f>ROUND($J$12*'CC Factors'!Y29*'CC Factors'!$T13*4.3,0)</f>
        <v>18060</v>
      </c>
      <c r="AC15" s="92">
        <f>ROUND($J$12*'CC Factors'!Z29*'CC Factors'!$T13*4.3,0)</f>
        <v>18060</v>
      </c>
      <c r="AD15" s="92">
        <f>ROUND($J$12*'CC Factors'!AA29*'CC Factors'!$T13*4.3,0)</f>
        <v>18060</v>
      </c>
      <c r="AE15" s="92">
        <f>ROUND($J$12*'CC Factors'!AB29*'CC Factors'!$T13*4.3,0)</f>
        <v>19350</v>
      </c>
      <c r="AF15" s="92">
        <f>ROUND($J$12*'CC Factors'!AC29*'CC Factors'!$T13*4.3,0)</f>
        <v>19350</v>
      </c>
      <c r="AG15" s="93">
        <f>ROUND($J$12*'CC Factors'!AD29*'CC Factors'!$T13*4.3,0)</f>
        <v>19350</v>
      </c>
      <c r="AH15" s="536">
        <f t="shared" si="5"/>
        <v>208980</v>
      </c>
      <c r="AI15" s="173">
        <f>ROUND($J$12*'CC Factors'!AF29*'CC Factors'!$T13*4.3,0)</f>
        <v>20640</v>
      </c>
      <c r="AJ15" s="173">
        <f>ROUND($J$12*'CC Factors'!AG29*'CC Factors'!$T13*4.3,0)</f>
        <v>20640</v>
      </c>
      <c r="AK15" s="173">
        <f>ROUND($J$12*'CC Factors'!AH29*'CC Factors'!$T13*4.3,0)</f>
        <v>20640</v>
      </c>
      <c r="AL15" s="173">
        <f>ROUND($J$12*'CC Factors'!AI29*'CC Factors'!$T13*4.3,0)</f>
        <v>20640</v>
      </c>
      <c r="AM15" s="173">
        <f>ROUND($J$12*'CC Factors'!AJ29*'CC Factors'!$T13*4.3,0)</f>
        <v>20640</v>
      </c>
      <c r="AN15" s="173">
        <f>ROUND($J$12*'CC Factors'!AK29*'CC Factors'!$T13*4.3,0)</f>
        <v>20640</v>
      </c>
      <c r="AO15" s="173">
        <f>ROUND($J$12*'CC Factors'!AL29*'CC Factors'!$T13*4.3,0)</f>
        <v>20640</v>
      </c>
      <c r="AP15" s="173">
        <f>ROUND($J$12*'CC Factors'!AM29*'CC Factors'!$T13*4.3,0)</f>
        <v>20640</v>
      </c>
      <c r="AQ15" s="173">
        <f>ROUND($J$12*'CC Factors'!AN29*'CC Factors'!$T13*4.3,0)</f>
        <v>20640</v>
      </c>
      <c r="AR15" s="173">
        <f>ROUND($J$12*'CC Factors'!AO29*'CC Factors'!$T13*4.3,0)</f>
        <v>20640</v>
      </c>
      <c r="AS15" s="173">
        <f>ROUND($J$12*'CC Factors'!AP29*'CC Factors'!$T13*4.3,0)</f>
        <v>20640</v>
      </c>
      <c r="AT15" s="173">
        <f>ROUND($J$12*'CC Factors'!AQ29*'CC Factors'!$T13*4.3,0)</f>
        <v>20640</v>
      </c>
      <c r="AU15" s="548">
        <f t="shared" si="6"/>
        <v>247680</v>
      </c>
      <c r="AV15" s="364" t="str">
        <f>'CC Factors'!$H11</f>
        <v>Toddlers (24mo to 36 mo)</v>
      </c>
    </row>
    <row r="16" spans="1:48" ht="16.5">
      <c r="A16" s="316" t="str">
        <f>'CC Factors'!H12</f>
        <v>3's Classroom</v>
      </c>
      <c r="B16" s="99"/>
      <c r="C16" s="99"/>
      <c r="D16" s="99"/>
      <c r="E16" s="99"/>
      <c r="F16" s="99"/>
      <c r="G16" s="99"/>
      <c r="H16" s="550">
        <f t="shared" si="3"/>
        <v>0</v>
      </c>
      <c r="I16" s="233">
        <f>ROUND($J$12*'CC Factors'!F30*'CC Factors'!$T14*4.3,0)</f>
        <v>14190</v>
      </c>
      <c r="J16" s="232">
        <f>ROUND($J$12*'CC Factors'!G30*'CC Factors'!$T14*4.3,0)</f>
        <v>14190</v>
      </c>
      <c r="K16" s="230">
        <f>ROUND($J$12*'CC Factors'!H30*'CC Factors'!$T14*4.3,0)</f>
        <v>14190</v>
      </c>
      <c r="L16" s="230">
        <f>ROUND($J$12*'CC Factors'!I30*'CC Factors'!$T14*4.3,0)</f>
        <v>14190</v>
      </c>
      <c r="M16" s="230">
        <f>ROUND($J$12*'CC Factors'!J30*'CC Factors'!$T14*4.3,0)</f>
        <v>14190</v>
      </c>
      <c r="N16" s="230">
        <f>ROUND($J$12*'CC Factors'!K30*'CC Factors'!$T14*4.3,0)</f>
        <v>14190</v>
      </c>
      <c r="O16" s="230">
        <f>ROUND($J$12*'CC Factors'!L30*'CC Factors'!$T14*4.3,0)</f>
        <v>15373</v>
      </c>
      <c r="P16" s="230">
        <f>ROUND($J$12*'CC Factors'!M30*'CC Factors'!$T14*4.3,0)</f>
        <v>15373</v>
      </c>
      <c r="Q16" s="230">
        <f>ROUND($J$12*'CC Factors'!N30*'CC Factors'!$T14*4.3,0)</f>
        <v>15373</v>
      </c>
      <c r="R16" s="230">
        <f>ROUND($J$12*'CC Factors'!O30*'CC Factors'!$T14*4.3,0)</f>
        <v>15373</v>
      </c>
      <c r="S16" s="230">
        <f>ROUND($J$12*'CC Factors'!P30*'CC Factors'!$T14*4.3,0)</f>
        <v>15373</v>
      </c>
      <c r="T16" s="230">
        <f>ROUND($J$12*'CC Factors'!Q30*'CC Factors'!$T14*4.3,0)</f>
        <v>15373</v>
      </c>
      <c r="U16" s="536">
        <f t="shared" si="4"/>
        <v>177378</v>
      </c>
      <c r="V16" s="173">
        <f>ROUND($J$12*'CC Factors'!S30*'CC Factors'!$T14*4.3,0)</f>
        <v>16555</v>
      </c>
      <c r="W16" s="92">
        <f>ROUND($J$12*'CC Factors'!T30*'CC Factors'!$T14*4.3,0)</f>
        <v>16555</v>
      </c>
      <c r="X16" s="92">
        <f>ROUND($J$12*'CC Factors'!U30*'CC Factors'!$T14*4.3,0)</f>
        <v>16555</v>
      </c>
      <c r="Y16" s="92">
        <f>ROUND($J$12*'CC Factors'!V30*'CC Factors'!$T14*4.3,0)</f>
        <v>16555</v>
      </c>
      <c r="Z16" s="92">
        <f>ROUND($J$12*'CC Factors'!W30*'CC Factors'!$T14*4.3,0)</f>
        <v>16555</v>
      </c>
      <c r="AA16" s="92">
        <f>ROUND($J$12*'CC Factors'!X30*'CC Factors'!$T14*4.3,0)</f>
        <v>16555</v>
      </c>
      <c r="AB16" s="92">
        <f>ROUND($J$12*'CC Factors'!Y30*'CC Factors'!$T14*4.3,0)</f>
        <v>17738</v>
      </c>
      <c r="AC16" s="92">
        <f>ROUND($J$12*'CC Factors'!Z30*'CC Factors'!$T14*4.3,0)</f>
        <v>17738</v>
      </c>
      <c r="AD16" s="92">
        <f>ROUND($J$12*'CC Factors'!AA30*'CC Factors'!$T14*4.3,0)</f>
        <v>17738</v>
      </c>
      <c r="AE16" s="92">
        <f>ROUND($J$12*'CC Factors'!AB30*'CC Factors'!$T14*4.3,0)</f>
        <v>17738</v>
      </c>
      <c r="AF16" s="92">
        <f>ROUND($J$12*'CC Factors'!AC30*'CC Factors'!$T14*4.3,0)</f>
        <v>17738</v>
      </c>
      <c r="AG16" s="93">
        <f>ROUND($J$12*'CC Factors'!AD30*'CC Factors'!$T14*4.3,0)</f>
        <v>17738</v>
      </c>
      <c r="AH16" s="536">
        <f t="shared" si="5"/>
        <v>205758</v>
      </c>
      <c r="AI16" s="173">
        <f>ROUND($J$12*'CC Factors'!AF30*'CC Factors'!$T14*4.3,0)</f>
        <v>18920</v>
      </c>
      <c r="AJ16" s="173">
        <f>ROUND($J$12*'CC Factors'!AG30*'CC Factors'!$T14*4.3,0)</f>
        <v>18920</v>
      </c>
      <c r="AK16" s="173">
        <f>ROUND($J$12*'CC Factors'!AH30*'CC Factors'!$T14*4.3,0)</f>
        <v>18920</v>
      </c>
      <c r="AL16" s="173">
        <f>ROUND($J$12*'CC Factors'!AI30*'CC Factors'!$T14*4.3,0)</f>
        <v>18920</v>
      </c>
      <c r="AM16" s="173">
        <f>ROUND($J$12*'CC Factors'!AJ30*'CC Factors'!$T14*4.3,0)</f>
        <v>18920</v>
      </c>
      <c r="AN16" s="173">
        <f>ROUND($J$12*'CC Factors'!AK30*'CC Factors'!$T14*4.3,0)</f>
        <v>18920</v>
      </c>
      <c r="AO16" s="173">
        <f>ROUND($J$12*'CC Factors'!AL30*'CC Factors'!$T14*4.3,0)</f>
        <v>18920</v>
      </c>
      <c r="AP16" s="173">
        <f>ROUND($J$12*'CC Factors'!AM30*'CC Factors'!$T14*4.3,0)</f>
        <v>18920</v>
      </c>
      <c r="AQ16" s="173">
        <f>ROUND($J$12*'CC Factors'!AN30*'CC Factors'!$T14*4.3,0)</f>
        <v>18920</v>
      </c>
      <c r="AR16" s="173">
        <f>ROUND($J$12*'CC Factors'!AO30*'CC Factors'!$T14*4.3,0)</f>
        <v>18920</v>
      </c>
      <c r="AS16" s="173">
        <f>ROUND($J$12*'CC Factors'!AP30*'CC Factors'!$T14*4.3,0)</f>
        <v>18920</v>
      </c>
      <c r="AT16" s="173">
        <f>ROUND($J$12*'CC Factors'!AQ30*'CC Factors'!$T14*4.3,0)</f>
        <v>18920</v>
      </c>
      <c r="AU16" s="548">
        <f t="shared" si="6"/>
        <v>227040</v>
      </c>
      <c r="AV16" s="364" t="str">
        <f>'CC Factors'!$H12</f>
        <v>3's Classroom</v>
      </c>
    </row>
    <row r="17" spans="1:48" ht="16.5">
      <c r="A17" s="316" t="str">
        <f>'CC Factors'!H13</f>
        <v>4's Clssroom</v>
      </c>
      <c r="B17" s="99"/>
      <c r="C17" s="99"/>
      <c r="D17" s="99"/>
      <c r="E17" s="99"/>
      <c r="F17" s="99"/>
      <c r="G17" s="99"/>
      <c r="H17" s="550">
        <f t="shared" si="3"/>
        <v>0</v>
      </c>
      <c r="I17" s="233">
        <f>ROUND($J$12*'CC Factors'!F31*'CC Factors'!$T15*4.3,0)</f>
        <v>14190</v>
      </c>
      <c r="J17" s="232">
        <f>ROUND($J$12*'CC Factors'!G31*'CC Factors'!$T15*4.3,0)</f>
        <v>14190</v>
      </c>
      <c r="K17" s="230">
        <f>ROUND($J$12*'CC Factors'!H31*'CC Factors'!$T15*4.3,0)</f>
        <v>14190</v>
      </c>
      <c r="L17" s="230">
        <f>ROUND($J$12*'CC Factors'!I31*'CC Factors'!$T15*4.3,0)</f>
        <v>14190</v>
      </c>
      <c r="M17" s="230">
        <f>ROUND($J$12*'CC Factors'!J31*'CC Factors'!$T15*4.3,0)</f>
        <v>14190</v>
      </c>
      <c r="N17" s="230">
        <f>ROUND($J$12*'CC Factors'!K31*'CC Factors'!$T15*4.3,0)</f>
        <v>14190</v>
      </c>
      <c r="O17" s="230">
        <f>ROUND($J$12*'CC Factors'!L31*'CC Factors'!$T15*4.3,0)</f>
        <v>15373</v>
      </c>
      <c r="P17" s="230">
        <f>ROUND($J$12*'CC Factors'!M31*'CC Factors'!$T15*4.3,0)</f>
        <v>15373</v>
      </c>
      <c r="Q17" s="230">
        <f>ROUND($J$12*'CC Factors'!N31*'CC Factors'!$T15*4.3,0)</f>
        <v>15373</v>
      </c>
      <c r="R17" s="230">
        <f>ROUND($J$12*'CC Factors'!O31*'CC Factors'!$T15*4.3,0)</f>
        <v>15373</v>
      </c>
      <c r="S17" s="230">
        <f>ROUND($J$12*'CC Factors'!P31*'CC Factors'!$T15*4.3,0)</f>
        <v>15373</v>
      </c>
      <c r="T17" s="230">
        <f>ROUND($J$12*'CC Factors'!Q31*'CC Factors'!$T15*4.3,0)</f>
        <v>15373</v>
      </c>
      <c r="U17" s="536">
        <f t="shared" si="4"/>
        <v>177378</v>
      </c>
      <c r="V17" s="173">
        <f>ROUND($J$12*'CC Factors'!S31*'CC Factors'!$T15*4.3,0)</f>
        <v>16555</v>
      </c>
      <c r="W17" s="92">
        <f>ROUND($J$12*'CC Factors'!T31*'CC Factors'!$T15*4.3,0)</f>
        <v>16555</v>
      </c>
      <c r="X17" s="92">
        <f>ROUND($J$12*'CC Factors'!U31*'CC Factors'!$T15*4.3,0)</f>
        <v>16555</v>
      </c>
      <c r="Y17" s="92">
        <f>ROUND($J$12*'CC Factors'!V31*'CC Factors'!$T15*4.3,0)</f>
        <v>16555</v>
      </c>
      <c r="Z17" s="92">
        <f>ROUND($J$12*'CC Factors'!W31*'CC Factors'!$T15*4.3,0)</f>
        <v>16555</v>
      </c>
      <c r="AA17" s="92">
        <f>ROUND($J$12*'CC Factors'!X31*'CC Factors'!$T15*4.3,0)</f>
        <v>16555</v>
      </c>
      <c r="AB17" s="92">
        <f>ROUND($J$12*'CC Factors'!Y31*'CC Factors'!$T15*4.3,0)</f>
        <v>17738</v>
      </c>
      <c r="AC17" s="92">
        <f>ROUND($J$12*'CC Factors'!Z31*'CC Factors'!$T15*4.3,0)</f>
        <v>17738</v>
      </c>
      <c r="AD17" s="92">
        <f>ROUND($J$12*'CC Factors'!AA31*'CC Factors'!$T15*4.3,0)</f>
        <v>17738</v>
      </c>
      <c r="AE17" s="92">
        <f>ROUND($J$12*'CC Factors'!AB31*'CC Factors'!$T15*4.3,0)</f>
        <v>17738</v>
      </c>
      <c r="AF17" s="92">
        <f>ROUND($J$12*'CC Factors'!AC31*'CC Factors'!$T15*4.3,0)</f>
        <v>17738</v>
      </c>
      <c r="AG17" s="93">
        <f>ROUND($J$12*'CC Factors'!AD31*'CC Factors'!$T15*4.3,0)</f>
        <v>17738</v>
      </c>
      <c r="AH17" s="536">
        <f t="shared" si="5"/>
        <v>205758</v>
      </c>
      <c r="AI17" s="173">
        <f>ROUND($J$12*'CC Factors'!AF31*'CC Factors'!$T15*4.3,0)</f>
        <v>18920</v>
      </c>
      <c r="AJ17" s="173">
        <f>ROUND($J$12*'CC Factors'!AG31*'CC Factors'!$T15*4.3,0)</f>
        <v>18920</v>
      </c>
      <c r="AK17" s="173">
        <f>ROUND($J$12*'CC Factors'!AH31*'CC Factors'!$T15*4.3,0)</f>
        <v>18920</v>
      </c>
      <c r="AL17" s="173">
        <f>ROUND($J$12*'CC Factors'!AI31*'CC Factors'!$T15*4.3,0)</f>
        <v>18920</v>
      </c>
      <c r="AM17" s="173">
        <f>ROUND($J$12*'CC Factors'!AJ31*'CC Factors'!$T15*4.3,0)</f>
        <v>18920</v>
      </c>
      <c r="AN17" s="173">
        <f>ROUND($J$12*'CC Factors'!AK31*'CC Factors'!$T15*4.3,0)</f>
        <v>18920</v>
      </c>
      <c r="AO17" s="173">
        <f>ROUND($J$12*'CC Factors'!AL31*'CC Factors'!$T15*4.3,0)</f>
        <v>18920</v>
      </c>
      <c r="AP17" s="173">
        <f>ROUND($J$12*'CC Factors'!AM31*'CC Factors'!$T15*4.3,0)</f>
        <v>18920</v>
      </c>
      <c r="AQ17" s="173">
        <f>ROUND($J$12*'CC Factors'!AN31*'CC Factors'!$T15*4.3,0)</f>
        <v>18920</v>
      </c>
      <c r="AR17" s="173">
        <f>ROUND($J$12*'CC Factors'!AO31*'CC Factors'!$T15*4.3,0)</f>
        <v>18920</v>
      </c>
      <c r="AS17" s="173">
        <f>ROUND($J$12*'CC Factors'!AP31*'CC Factors'!$T15*4.3,0)</f>
        <v>18920</v>
      </c>
      <c r="AT17" s="173">
        <f>ROUND($J$12*'CC Factors'!AQ31*'CC Factors'!$T15*4.3,0)</f>
        <v>18920</v>
      </c>
      <c r="AU17" s="548">
        <f t="shared" si="6"/>
        <v>227040</v>
      </c>
      <c r="AV17" s="364" t="str">
        <f>'CC Factors'!$H13</f>
        <v>4's Clssroom</v>
      </c>
    </row>
    <row r="18" spans="1:48" ht="16.5">
      <c r="A18" s="316" t="str">
        <f>'CC Factors'!H14</f>
        <v>Before/After Care</v>
      </c>
      <c r="B18" s="99"/>
      <c r="C18" s="99"/>
      <c r="D18" s="99"/>
      <c r="E18" s="99"/>
      <c r="F18" s="99"/>
      <c r="G18" s="99"/>
      <c r="H18" s="550">
        <f t="shared" si="3"/>
        <v>0</v>
      </c>
      <c r="I18" s="233">
        <f>ROUND($J$12*'CC Factors'!F32*'CC Factors'!$T16*4.3,0)</f>
        <v>2580</v>
      </c>
      <c r="J18" s="232">
        <f>ROUND($J$12*'CC Factors'!G32*'CC Factors'!$T16*4.3,0)</f>
        <v>2580</v>
      </c>
      <c r="K18" s="230">
        <f>ROUND($J$12*'CC Factors'!H32*'CC Factors'!$T16*4.3,0)</f>
        <v>2580</v>
      </c>
      <c r="L18" s="230">
        <f>ROUND($J$12*'CC Factors'!I32*'CC Factors'!$T16*4.3,0)</f>
        <v>2580</v>
      </c>
      <c r="M18" s="230">
        <f>ROUND($J$12*'CC Factors'!J32*'CC Factors'!$T16*4.3,0)</f>
        <v>2580</v>
      </c>
      <c r="N18" s="230">
        <f>ROUND($J$12*'CC Factors'!K32*'CC Factors'!$T16*4.3,0)</f>
        <v>2580</v>
      </c>
      <c r="O18" s="230">
        <f>ROUND($J$12*'CC Factors'!L32*'CC Factors'!$T16*4.3,0)</f>
        <v>2795</v>
      </c>
      <c r="P18" s="230">
        <f>ROUND($J$12*'CC Factors'!M32*'CC Factors'!$T16*4.3,0)</f>
        <v>2795</v>
      </c>
      <c r="Q18" s="230">
        <f>ROUND($J$12*'CC Factors'!N32*'CC Factors'!$T16*4.3,0)</f>
        <v>2795</v>
      </c>
      <c r="R18" s="230">
        <f>ROUND($J$12*'CC Factors'!O32*'CC Factors'!$T16*4.3,0)</f>
        <v>2795</v>
      </c>
      <c r="S18" s="230">
        <f>ROUND($J$12*'CC Factors'!P32*'CC Factors'!$T16*4.3,0)</f>
        <v>2795</v>
      </c>
      <c r="T18" s="230">
        <f>ROUND($J$12*'CC Factors'!Q32*'CC Factors'!$T16*4.3,0)</f>
        <v>2795</v>
      </c>
      <c r="U18" s="536">
        <f t="shared" si="4"/>
        <v>32250</v>
      </c>
      <c r="V18" s="173">
        <f>ROUND($J$12*'CC Factors'!S32*'CC Factors'!$T16*4.3,0)</f>
        <v>3010</v>
      </c>
      <c r="W18" s="92">
        <f>ROUND($J$12*'CC Factors'!T32*'CC Factors'!$T16*4.3,0)</f>
        <v>3010</v>
      </c>
      <c r="X18" s="92">
        <f>ROUND($J$12*'CC Factors'!U32*'CC Factors'!$T16*4.3,0)</f>
        <v>3010</v>
      </c>
      <c r="Y18" s="92">
        <f>ROUND($J$12*'CC Factors'!V32*'CC Factors'!$T16*4.3,0)</f>
        <v>3010</v>
      </c>
      <c r="Z18" s="92">
        <f>ROUND($J$12*'CC Factors'!W32*'CC Factors'!$T16*4.3,0)</f>
        <v>3010</v>
      </c>
      <c r="AA18" s="92">
        <f>ROUND($J$12*'CC Factors'!X32*'CC Factors'!$T16*4.3,0)</f>
        <v>3010</v>
      </c>
      <c r="AB18" s="92">
        <f>ROUND($J$12*'CC Factors'!Y32*'CC Factors'!$T16*4.3,0)</f>
        <v>3225</v>
      </c>
      <c r="AC18" s="92">
        <f>ROUND($J$12*'CC Factors'!Z32*'CC Factors'!$T16*4.3,0)</f>
        <v>3225</v>
      </c>
      <c r="AD18" s="92">
        <f>ROUND($J$12*'CC Factors'!AA32*'CC Factors'!$T16*4.3,0)</f>
        <v>3225</v>
      </c>
      <c r="AE18" s="92">
        <f>ROUND($J$12*'CC Factors'!AB32*'CC Factors'!$T16*4.3,0)</f>
        <v>3225</v>
      </c>
      <c r="AF18" s="92">
        <f>ROUND($J$12*'CC Factors'!AC32*'CC Factors'!$T16*4.3,0)</f>
        <v>3225</v>
      </c>
      <c r="AG18" s="93">
        <f>ROUND($J$12*'CC Factors'!AD32*'CC Factors'!$T16*4.3,0)</f>
        <v>3225</v>
      </c>
      <c r="AH18" s="536">
        <f t="shared" si="5"/>
        <v>37410</v>
      </c>
      <c r="AI18" s="173">
        <f>ROUND($J$12*'CC Factors'!AF32*'CC Factors'!$T16*4.3,0)</f>
        <v>3440</v>
      </c>
      <c r="AJ18" s="173">
        <f>ROUND($J$12*'CC Factors'!AG32*'CC Factors'!$T16*4.3,0)</f>
        <v>3440</v>
      </c>
      <c r="AK18" s="173">
        <f>ROUND($J$12*'CC Factors'!AH32*'CC Factors'!$T16*4.3,0)</f>
        <v>3440</v>
      </c>
      <c r="AL18" s="173">
        <f>ROUND($J$12*'CC Factors'!AI32*'CC Factors'!$T16*4.3,0)</f>
        <v>3440</v>
      </c>
      <c r="AM18" s="173">
        <f>ROUND($J$12*'CC Factors'!AJ32*'CC Factors'!$T16*4.3,0)</f>
        <v>3440</v>
      </c>
      <c r="AN18" s="173">
        <f>ROUND($J$12*'CC Factors'!AK32*'CC Factors'!$T16*4.3,0)</f>
        <v>3440</v>
      </c>
      <c r="AO18" s="173">
        <f>ROUND($J$12*'CC Factors'!AL32*'CC Factors'!$T16*4.3,0)</f>
        <v>3655</v>
      </c>
      <c r="AP18" s="173">
        <f>ROUND($J$12*'CC Factors'!AM32*'CC Factors'!$T16*4.3,0)</f>
        <v>3655</v>
      </c>
      <c r="AQ18" s="173">
        <f>ROUND($J$12*'CC Factors'!AN32*'CC Factors'!$T16*4.3,0)</f>
        <v>3655</v>
      </c>
      <c r="AR18" s="173">
        <f>ROUND($J$12*'CC Factors'!AO32*'CC Factors'!$T16*4.3,0)</f>
        <v>3655</v>
      </c>
      <c r="AS18" s="173">
        <f>ROUND($J$12*'CC Factors'!AP32*'CC Factors'!$T16*4.3,0)</f>
        <v>3655</v>
      </c>
      <c r="AT18" s="173">
        <f>ROUND($J$12*'CC Factors'!AQ32*'CC Factors'!$T16*4.3,0)</f>
        <v>3655</v>
      </c>
      <c r="AU18" s="548">
        <f t="shared" si="6"/>
        <v>42570</v>
      </c>
      <c r="AV18" s="364" t="str">
        <f>'CC Factors'!$H14</f>
        <v>Before/After Care</v>
      </c>
    </row>
    <row r="19" spans="1:48" ht="16.5">
      <c r="A19" s="316" t="str">
        <f>'CC Factors'!H15</f>
        <v>Summer Camp</v>
      </c>
      <c r="B19" s="99"/>
      <c r="C19" s="99"/>
      <c r="D19" s="99"/>
      <c r="E19" s="99"/>
      <c r="F19" s="99"/>
      <c r="G19" s="99"/>
      <c r="H19" s="550">
        <f t="shared" si="3"/>
        <v>0</v>
      </c>
      <c r="I19" s="233">
        <f>ROUND($J$12*'CC Factors'!F33*'CC Factors'!$T17*4.3,0)</f>
        <v>10750</v>
      </c>
      <c r="J19" s="232">
        <f>ROUND($J$12*'CC Factors'!G33*'CC Factors'!$T17*4.3,0)</f>
        <v>10750</v>
      </c>
      <c r="K19" s="230">
        <f>ROUND($J$12*'CC Factors'!H33*'CC Factors'!$T17*4.3,0)</f>
        <v>10750</v>
      </c>
      <c r="L19" s="230">
        <f>ROUND($J$12*'CC Factors'!I33*'CC Factors'!$T17*4.3,0)</f>
        <v>11288</v>
      </c>
      <c r="M19" s="230">
        <f>ROUND($J$12*'CC Factors'!J33*'CC Factors'!$T17*4.3,0)</f>
        <v>11288</v>
      </c>
      <c r="N19" s="230">
        <f>ROUND($J$12*'CC Factors'!K33*'CC Factors'!$T17*4.3,0)</f>
        <v>8063</v>
      </c>
      <c r="O19" s="230">
        <f>ROUND($J$12*'CC Factors'!L33*'CC Factors'!$T17*4.3,0)</f>
        <v>8063</v>
      </c>
      <c r="P19" s="230">
        <f>ROUND($J$12*'CC Factors'!M33*'CC Factors'!$T17*4.3,0)</f>
        <v>11825</v>
      </c>
      <c r="Q19" s="230">
        <f>ROUND($J$12*'CC Factors'!N33*'CC Factors'!$T17*4.3,0)</f>
        <v>12363</v>
      </c>
      <c r="R19" s="230">
        <f>ROUND($J$12*'CC Factors'!O33*'CC Factors'!$T17*4.3,0)</f>
        <v>12363</v>
      </c>
      <c r="S19" s="230">
        <f>ROUND($J$12*'CC Factors'!P33*'CC Factors'!$T17*4.3,0)</f>
        <v>12900</v>
      </c>
      <c r="T19" s="230">
        <f>ROUND($J$12*'CC Factors'!Q33*'CC Factors'!$T17*4.3,0)</f>
        <v>12900</v>
      </c>
      <c r="U19" s="536">
        <f t="shared" si="4"/>
        <v>133303</v>
      </c>
      <c r="V19" s="173">
        <f>ROUND($J$12*'CC Factors'!S33*'CC Factors'!$T17*4.3,0)</f>
        <v>13438</v>
      </c>
      <c r="W19" s="92">
        <f>ROUND($J$12*'CC Factors'!T33*'CC Factors'!$T17*4.3,0)</f>
        <v>13438</v>
      </c>
      <c r="X19" s="92">
        <f>ROUND($J$12*'CC Factors'!U33*'CC Factors'!$T17*4.3,0)</f>
        <v>13438</v>
      </c>
      <c r="Y19" s="92">
        <f>ROUND($J$12*'CC Factors'!V33*'CC Factors'!$T17*4.3,0)</f>
        <v>13975</v>
      </c>
      <c r="Z19" s="92">
        <f>ROUND($J$12*'CC Factors'!W33*'CC Factors'!$T17*4.3,0)</f>
        <v>13975</v>
      </c>
      <c r="AA19" s="92">
        <f>ROUND($J$12*'CC Factors'!X33*'CC Factors'!$T17*4.3,0)</f>
        <v>10750</v>
      </c>
      <c r="AB19" s="92">
        <f>ROUND($J$12*'CC Factors'!Y33*'CC Factors'!$T17*4.3,0)</f>
        <v>10750</v>
      </c>
      <c r="AC19" s="92">
        <f>ROUND($J$12*'CC Factors'!Z33*'CC Factors'!$T17*4.3,0)</f>
        <v>14513</v>
      </c>
      <c r="AD19" s="92">
        <f>ROUND($J$12*'CC Factors'!AA33*'CC Factors'!$T17*4.3,0)</f>
        <v>15050</v>
      </c>
      <c r="AE19" s="92">
        <f>ROUND($J$12*'CC Factors'!AB33*'CC Factors'!$T17*4.3,0)</f>
        <v>15050</v>
      </c>
      <c r="AF19" s="92">
        <f>ROUND($J$12*'CC Factors'!AC33*'CC Factors'!$T17*4.3,0)</f>
        <v>15588</v>
      </c>
      <c r="AG19" s="93">
        <f>ROUND($J$12*'CC Factors'!AD33*'CC Factors'!$T17*4.3,0)</f>
        <v>15588</v>
      </c>
      <c r="AH19" s="536">
        <f t="shared" si="5"/>
        <v>165553</v>
      </c>
      <c r="AI19" s="173">
        <f>ROUND($J$12*'CC Factors'!AF33*'CC Factors'!$T17*4.3,0)</f>
        <v>16125</v>
      </c>
      <c r="AJ19" s="173">
        <f>ROUND($J$12*'CC Factors'!AG33*'CC Factors'!$T17*4.3,0)</f>
        <v>16125</v>
      </c>
      <c r="AK19" s="173">
        <f>ROUND($J$12*'CC Factors'!AH33*'CC Factors'!$T17*4.3,0)</f>
        <v>16125</v>
      </c>
      <c r="AL19" s="173">
        <f>ROUND($J$12*'CC Factors'!AI33*'CC Factors'!$T17*4.3,0)</f>
        <v>16663</v>
      </c>
      <c r="AM19" s="173">
        <f>ROUND($J$12*'CC Factors'!AJ33*'CC Factors'!$T17*4.3,0)</f>
        <v>16663</v>
      </c>
      <c r="AN19" s="173">
        <f>ROUND($J$12*'CC Factors'!AK33*'CC Factors'!$T17*4.3,0)</f>
        <v>12900</v>
      </c>
      <c r="AO19" s="173">
        <f>ROUND($J$12*'CC Factors'!AL33*'CC Factors'!$T17*4.3,0)</f>
        <v>12900</v>
      </c>
      <c r="AP19" s="173">
        <f>ROUND($J$12*'CC Factors'!AM33*'CC Factors'!$T17*4.3,0)</f>
        <v>17200</v>
      </c>
      <c r="AQ19" s="173">
        <f>ROUND($J$12*'CC Factors'!AN33*'CC Factors'!$T17*4.3,0)</f>
        <v>17738</v>
      </c>
      <c r="AR19" s="173">
        <f>ROUND($J$12*'CC Factors'!AO33*'CC Factors'!$T17*4.3,0)</f>
        <v>17738</v>
      </c>
      <c r="AS19" s="173">
        <f>ROUND($J$12*'CC Factors'!AP33*'CC Factors'!$T17*4.3,0)</f>
        <v>18275</v>
      </c>
      <c r="AT19" s="173">
        <f>ROUND($J$12*'CC Factors'!AQ33*'CC Factors'!$T17*4.3,0)</f>
        <v>18275</v>
      </c>
      <c r="AU19" s="548">
        <f t="shared" si="6"/>
        <v>196727</v>
      </c>
      <c r="AV19" s="364" t="str">
        <f>'CC Factors'!$H15</f>
        <v>Summer Camp</v>
      </c>
    </row>
    <row r="20" spans="1:48" ht="17.25" thickBot="1">
      <c r="A20" s="68"/>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68"/>
    </row>
    <row r="21" spans="1:48" ht="18">
      <c r="A21" s="294" t="s">
        <v>94</v>
      </c>
      <c r="B21" s="246"/>
      <c r="C21" s="369"/>
      <c r="D21" s="369"/>
      <c r="E21" s="246" t="s">
        <v>239</v>
      </c>
      <c r="G21" s="185"/>
      <c r="H21" s="185"/>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4" t="s">
        <v>94</v>
      </c>
    </row>
    <row r="22" spans="1:48" ht="16.5">
      <c r="A22" s="147" t="s">
        <v>47</v>
      </c>
      <c r="B22" s="99"/>
      <c r="C22" s="99"/>
      <c r="D22" s="99"/>
      <c r="E22" s="99"/>
      <c r="F22" s="99"/>
      <c r="G22" s="99"/>
      <c r="H22" s="550">
        <f>ROUND(SUM(B22:G22),0)</f>
        <v>0</v>
      </c>
      <c r="I22" s="233">
        <f>ROUND('CC Factors'!F61*'CC Factors'!$X14,0)</f>
        <v>10200</v>
      </c>
      <c r="J22" s="232">
        <f>ROUND('CC Factors'!G61*'CC Factors'!$X14,0)</f>
        <v>10200</v>
      </c>
      <c r="K22" s="230">
        <f>ROUND('CC Factors'!H61*'CC Factors'!$X14,0)</f>
        <v>10200</v>
      </c>
      <c r="L22" s="230">
        <f>ROUND('CC Factors'!I61*'CC Factors'!$X14,0)</f>
        <v>10200</v>
      </c>
      <c r="M22" s="230">
        <f>ROUND('CC Factors'!J61*'CC Factors'!$X14,0)</f>
        <v>10200</v>
      </c>
      <c r="N22" s="230">
        <f>ROUND('CC Factors'!K61*'CC Factors'!$X14,0)</f>
        <v>10200</v>
      </c>
      <c r="O22" s="230">
        <f>ROUND('CC Factors'!L61*'CC Factors'!$X14,0)</f>
        <v>10200</v>
      </c>
      <c r="P22" s="230">
        <f>ROUND('CC Factors'!M61*'CC Factors'!$X14,0)</f>
        <v>10200</v>
      </c>
      <c r="Q22" s="230">
        <f>ROUND('CC Factors'!N61*'CC Factors'!$X14,0)</f>
        <v>10200</v>
      </c>
      <c r="R22" s="230">
        <f>ROUND('CC Factors'!O61*'CC Factors'!$X14,0)</f>
        <v>10200</v>
      </c>
      <c r="S22" s="230">
        <f>ROUND('CC Factors'!P61*'CC Factors'!$X14,0)</f>
        <v>10200</v>
      </c>
      <c r="T22" s="230">
        <f>ROUND('CC Factors'!Q61*'CC Factors'!$X14,0)</f>
        <v>14280</v>
      </c>
      <c r="U22" s="536">
        <f>ROUND(SUM(I22:T22),0)</f>
        <v>126480</v>
      </c>
      <c r="V22" s="173">
        <f>ROUND('CC Factors'!S61*'CC Factors'!$X14,0)</f>
        <v>14280</v>
      </c>
      <c r="W22" s="92">
        <f>ROUND('CC Factors'!T61*'CC Factors'!$X14,0)</f>
        <v>14280</v>
      </c>
      <c r="X22" s="92">
        <f>ROUND('CC Factors'!U61*'CC Factors'!$X14,0)</f>
        <v>14280</v>
      </c>
      <c r="Y22" s="92">
        <f>ROUND('CC Factors'!V61*'CC Factors'!$X14,0)</f>
        <v>14280</v>
      </c>
      <c r="Z22" s="92">
        <f>ROUND('CC Factors'!W61*'CC Factors'!$X14,0)</f>
        <v>14280</v>
      </c>
      <c r="AA22" s="92">
        <f>ROUND('CC Factors'!X61*'CC Factors'!$X14,0)</f>
        <v>14280</v>
      </c>
      <c r="AB22" s="92">
        <f>ROUND('CC Factors'!Y61*'CC Factors'!$X14,0)</f>
        <v>14280</v>
      </c>
      <c r="AC22" s="92">
        <f>ROUND('CC Factors'!Z61*'CC Factors'!$X14,0)</f>
        <v>14280</v>
      </c>
      <c r="AD22" s="92">
        <f>ROUND('CC Factors'!AA61*'CC Factors'!$X14,0)</f>
        <v>14280</v>
      </c>
      <c r="AE22" s="92">
        <f>ROUND('CC Factors'!AB61*'CC Factors'!$X14,0)</f>
        <v>14280</v>
      </c>
      <c r="AF22" s="92">
        <f>ROUND('CC Factors'!AC61*'CC Factors'!$X14,0)</f>
        <v>14280</v>
      </c>
      <c r="AG22" s="93">
        <f>ROUND('CC Factors'!AD61*'CC Factors'!$X14,0)</f>
        <v>16320</v>
      </c>
      <c r="AH22" s="536">
        <f>ROUND(SUM(V22:AG22),0)</f>
        <v>173400</v>
      </c>
      <c r="AI22" s="173">
        <f>ROUND('CC Factors'!AF61*'CC Factors'!$X14,0)</f>
        <v>16320</v>
      </c>
      <c r="AJ22" s="173">
        <f>ROUND('CC Factors'!AG61*'CC Factors'!$X14,0)</f>
        <v>16320</v>
      </c>
      <c r="AK22" s="173">
        <f>ROUND('CC Factors'!AH61*'CC Factors'!$X14,0)</f>
        <v>16320</v>
      </c>
      <c r="AL22" s="173">
        <f>ROUND('CC Factors'!AI61*'CC Factors'!$X14,0)</f>
        <v>16320</v>
      </c>
      <c r="AM22" s="173">
        <f>ROUND('CC Factors'!AJ61*'CC Factors'!$X14,0)</f>
        <v>16320</v>
      </c>
      <c r="AN22" s="173">
        <f>ROUND('CC Factors'!AK61*'CC Factors'!$X14,0)</f>
        <v>16320</v>
      </c>
      <c r="AO22" s="173">
        <f>ROUND('CC Factors'!AL61*'CC Factors'!$X14,0)</f>
        <v>16320</v>
      </c>
      <c r="AP22" s="173">
        <f>ROUND('CC Factors'!AM61*'CC Factors'!$X14,0)</f>
        <v>16320</v>
      </c>
      <c r="AQ22" s="173">
        <f>ROUND('CC Factors'!AN61*'CC Factors'!$X14,0)</f>
        <v>16320</v>
      </c>
      <c r="AR22" s="173">
        <f>ROUND('CC Factors'!AO61*'CC Factors'!$X14,0)</f>
        <v>16320</v>
      </c>
      <c r="AS22" s="173">
        <f>ROUND('CC Factors'!AP61*'CC Factors'!$X14,0)</f>
        <v>16320</v>
      </c>
      <c r="AT22" s="173">
        <f>ROUND('CC Factors'!AQ61*'CC Factors'!$X14,0)</f>
        <v>16320</v>
      </c>
      <c r="AU22" s="536">
        <f>ROUND(SUM(AI22:AT22),0)</f>
        <v>195840</v>
      </c>
      <c r="AV22" s="69" t="str">
        <f>$A$22</f>
        <v>  Pre-School only - 3s (10 mo.)</v>
      </c>
    </row>
    <row r="23" spans="1:48" ht="16.5">
      <c r="A23" s="147" t="s">
        <v>48</v>
      </c>
      <c r="B23" s="99"/>
      <c r="C23" s="99"/>
      <c r="D23" s="99"/>
      <c r="E23" s="99"/>
      <c r="F23" s="99"/>
      <c r="G23" s="99"/>
      <c r="H23" s="550">
        <f>ROUND(SUM(B23:G23),0)</f>
        <v>0</v>
      </c>
      <c r="I23" s="233">
        <f>ROUND('CC Factors'!F62*'CC Factors'!$X15,0)</f>
        <v>5100</v>
      </c>
      <c r="J23" s="232">
        <f>ROUND('CC Factors'!G62*'CC Factors'!$X15,0)</f>
        <v>5100</v>
      </c>
      <c r="K23" s="230">
        <f>ROUND('CC Factors'!H62*'CC Factors'!$X15,0)</f>
        <v>5100</v>
      </c>
      <c r="L23" s="230">
        <f>ROUND('CC Factors'!I62*'CC Factors'!$X15,0)</f>
        <v>5100</v>
      </c>
      <c r="M23" s="230">
        <f>ROUND('CC Factors'!J62*'CC Factors'!$X15,0)</f>
        <v>5100</v>
      </c>
      <c r="N23" s="230">
        <f>ROUND('CC Factors'!K62*'CC Factors'!$X15,0)</f>
        <v>5100</v>
      </c>
      <c r="O23" s="230">
        <f>ROUND('CC Factors'!L62*'CC Factors'!$X15,0)</f>
        <v>5100</v>
      </c>
      <c r="P23" s="230">
        <f>ROUND('CC Factors'!M62*'CC Factors'!$X15,0)</f>
        <v>5100</v>
      </c>
      <c r="Q23" s="230">
        <f>ROUND('CC Factors'!N62*'CC Factors'!$X15,0)</f>
        <v>5100</v>
      </c>
      <c r="R23" s="230">
        <f>ROUND('CC Factors'!O62*'CC Factors'!$X15,0)</f>
        <v>5100</v>
      </c>
      <c r="S23" s="230">
        <f>ROUND('CC Factors'!P62*'CC Factors'!$X15,0)</f>
        <v>5100</v>
      </c>
      <c r="T23" s="230">
        <f>ROUND('CC Factors'!Q62*'CC Factors'!$X15,0)</f>
        <v>5100</v>
      </c>
      <c r="U23" s="536">
        <f>ROUND(SUM(I23:T23),0)</f>
        <v>61200</v>
      </c>
      <c r="V23" s="173">
        <f>ROUND('CC Factors'!S62*'CC Factors'!$X15,0)</f>
        <v>7140</v>
      </c>
      <c r="W23" s="92">
        <f>ROUND('CC Factors'!T62*'CC Factors'!$X15,0)</f>
        <v>7140</v>
      </c>
      <c r="X23" s="92">
        <f>ROUND('CC Factors'!U62*'CC Factors'!$X15,0)</f>
        <v>7140</v>
      </c>
      <c r="Y23" s="92">
        <f>ROUND('CC Factors'!V62*'CC Factors'!$X15,0)</f>
        <v>7140</v>
      </c>
      <c r="Z23" s="92">
        <f>ROUND('CC Factors'!W62*'CC Factors'!$X15,0)</f>
        <v>7140</v>
      </c>
      <c r="AA23" s="92">
        <f>ROUND('CC Factors'!X62*'CC Factors'!$X15,0)</f>
        <v>7140</v>
      </c>
      <c r="AB23" s="92">
        <f>ROUND('CC Factors'!Y62*'CC Factors'!$X15,0)</f>
        <v>7140</v>
      </c>
      <c r="AC23" s="92">
        <f>ROUND('CC Factors'!Z62*'CC Factors'!$X15,0)</f>
        <v>7140</v>
      </c>
      <c r="AD23" s="92">
        <f>ROUND('CC Factors'!AA62*'CC Factors'!$X15,0)</f>
        <v>7140</v>
      </c>
      <c r="AE23" s="92">
        <f>ROUND('CC Factors'!AB62*'CC Factors'!$X15,0)</f>
        <v>7140</v>
      </c>
      <c r="AF23" s="92">
        <f>ROUND('CC Factors'!AC62*'CC Factors'!$X15,0)</f>
        <v>7140</v>
      </c>
      <c r="AG23" s="93">
        <f>ROUND('CC Factors'!AD62*'CC Factors'!$X15,0)</f>
        <v>7140</v>
      </c>
      <c r="AH23" s="536">
        <f>ROUND(SUM(V23:AG23),0)</f>
        <v>85680</v>
      </c>
      <c r="AI23" s="173">
        <f>ROUND('CC Factors'!AF62*'CC Factors'!$X15,0)</f>
        <v>8160</v>
      </c>
      <c r="AJ23" s="173">
        <f>ROUND('CC Factors'!AG62*'CC Factors'!$X15,0)</f>
        <v>8160</v>
      </c>
      <c r="AK23" s="173">
        <f>ROUND('CC Factors'!AH62*'CC Factors'!$X15,0)</f>
        <v>8160</v>
      </c>
      <c r="AL23" s="173">
        <f>ROUND('CC Factors'!AI62*'CC Factors'!$X15,0)</f>
        <v>8160</v>
      </c>
      <c r="AM23" s="173">
        <f>ROUND('CC Factors'!AJ62*'CC Factors'!$X15,0)</f>
        <v>8160</v>
      </c>
      <c r="AN23" s="173">
        <f>ROUND('CC Factors'!AK62*'CC Factors'!$X15,0)</f>
        <v>8160</v>
      </c>
      <c r="AO23" s="173">
        <f>ROUND('CC Factors'!AL62*'CC Factors'!$X15,0)</f>
        <v>8160</v>
      </c>
      <c r="AP23" s="173">
        <f>ROUND('CC Factors'!AM62*'CC Factors'!$X15,0)</f>
        <v>8160</v>
      </c>
      <c r="AQ23" s="173">
        <f>ROUND('CC Factors'!AN62*'CC Factors'!$X15,0)</f>
        <v>8160</v>
      </c>
      <c r="AR23" s="173">
        <f>ROUND('CC Factors'!AO62*'CC Factors'!$X15,0)</f>
        <v>8160</v>
      </c>
      <c r="AS23" s="173">
        <f>ROUND('CC Factors'!AP62*'CC Factors'!$X15,0)</f>
        <v>8160</v>
      </c>
      <c r="AT23" s="173">
        <f>ROUND('CC Factors'!AQ62*'CC Factors'!$X15,0)</f>
        <v>8160</v>
      </c>
      <c r="AU23" s="536">
        <f>ROUND(SUM(AI23:AT23),0)</f>
        <v>97920</v>
      </c>
      <c r="AV23" s="69" t="s">
        <v>48</v>
      </c>
    </row>
    <row r="24" spans="1:48" ht="16.5">
      <c r="A24" s="147" t="s">
        <v>49</v>
      </c>
      <c r="B24" s="99"/>
      <c r="C24" s="99"/>
      <c r="D24" s="99"/>
      <c r="E24" s="99"/>
      <c r="F24" s="99"/>
      <c r="G24" s="99"/>
      <c r="H24" s="550">
        <f>ROUND(SUM(B24:G24),0)</f>
        <v>0</v>
      </c>
      <c r="I24" s="233">
        <f>ROUND('CC Factors'!F63*'CC Factors'!$X16,0)</f>
        <v>5600</v>
      </c>
      <c r="J24" s="232">
        <f>ROUND('CC Factors'!G63*'CC Factors'!$X16,0)</f>
        <v>5600</v>
      </c>
      <c r="K24" s="230">
        <f>ROUND('CC Factors'!H63*'CC Factors'!$X16,0)</f>
        <v>5600</v>
      </c>
      <c r="L24" s="230">
        <f>ROUND('CC Factors'!I63*'CC Factors'!$X16,0)</f>
        <v>5600</v>
      </c>
      <c r="M24" s="230">
        <f>ROUND('CC Factors'!J63*'CC Factors'!$X16,0)</f>
        <v>5600</v>
      </c>
      <c r="N24" s="230">
        <f>ROUND('CC Factors'!K63*'CC Factors'!$X16,0)</f>
        <v>5600</v>
      </c>
      <c r="O24" s="230">
        <f>ROUND('CC Factors'!L63*'CC Factors'!$X16,0)</f>
        <v>5600</v>
      </c>
      <c r="P24" s="230">
        <f>ROUND('CC Factors'!M63*'CC Factors'!$X16,0)</f>
        <v>5600</v>
      </c>
      <c r="Q24" s="230">
        <f>ROUND('CC Factors'!N63*'CC Factors'!$X16,0)</f>
        <v>5600</v>
      </c>
      <c r="R24" s="230">
        <f>ROUND('CC Factors'!O63*'CC Factors'!$X16,0)</f>
        <v>5600</v>
      </c>
      <c r="S24" s="230">
        <f>ROUND('CC Factors'!P63*'CC Factors'!$X16,0)</f>
        <v>5600</v>
      </c>
      <c r="T24" s="230">
        <f>ROUND('CC Factors'!Q63*'CC Factors'!$X16,0)</f>
        <v>5600</v>
      </c>
      <c r="U24" s="536">
        <f>ROUND(SUM(I24:T24),0)</f>
        <v>67200</v>
      </c>
      <c r="V24" s="173">
        <f>ROUND('CC Factors'!S63*'CC Factors'!$X16,0)</f>
        <v>6400</v>
      </c>
      <c r="W24" s="92">
        <f>ROUND('CC Factors'!T63*'CC Factors'!$X16,0)</f>
        <v>6400</v>
      </c>
      <c r="X24" s="92">
        <f>ROUND('CC Factors'!U63*'CC Factors'!$X16,0)</f>
        <v>6400</v>
      </c>
      <c r="Y24" s="92">
        <f>ROUND('CC Factors'!V63*'CC Factors'!$X16,0)</f>
        <v>6400</v>
      </c>
      <c r="Z24" s="92">
        <f>ROUND('CC Factors'!W63*'CC Factors'!$X16,0)</f>
        <v>6400</v>
      </c>
      <c r="AA24" s="92">
        <f>ROUND('CC Factors'!X63*'CC Factors'!$X16,0)</f>
        <v>6400</v>
      </c>
      <c r="AB24" s="92">
        <f>ROUND('CC Factors'!Y63*'CC Factors'!$X16,0)</f>
        <v>6400</v>
      </c>
      <c r="AC24" s="92">
        <f>ROUND('CC Factors'!Z63*'CC Factors'!$X16,0)</f>
        <v>6400</v>
      </c>
      <c r="AD24" s="92">
        <f>ROUND('CC Factors'!AA63*'CC Factors'!$X16,0)</f>
        <v>6400</v>
      </c>
      <c r="AE24" s="92">
        <f>ROUND('CC Factors'!AB63*'CC Factors'!$X16,0)</f>
        <v>6400</v>
      </c>
      <c r="AF24" s="92">
        <f>ROUND('CC Factors'!AC63*'CC Factors'!$X16,0)</f>
        <v>6400</v>
      </c>
      <c r="AG24" s="93">
        <f>ROUND('CC Factors'!AD63*'CC Factors'!$X16,0)</f>
        <v>6400</v>
      </c>
      <c r="AH24" s="536">
        <f>ROUND(SUM(V24:AG24),0)</f>
        <v>76800</v>
      </c>
      <c r="AI24" s="173">
        <f>ROUND('CC Factors'!AF63*'CC Factors'!$X16,0)</f>
        <v>7200</v>
      </c>
      <c r="AJ24" s="173">
        <f>ROUND('CC Factors'!AG63*'CC Factors'!$X16,0)</f>
        <v>7200</v>
      </c>
      <c r="AK24" s="173">
        <f>ROUND('CC Factors'!AH63*'CC Factors'!$X16,0)</f>
        <v>7200</v>
      </c>
      <c r="AL24" s="173">
        <f>ROUND('CC Factors'!AI63*'CC Factors'!$X16,0)</f>
        <v>7200</v>
      </c>
      <c r="AM24" s="173">
        <f>ROUND('CC Factors'!AJ63*'CC Factors'!$X16,0)</f>
        <v>7200</v>
      </c>
      <c r="AN24" s="173">
        <f>ROUND('CC Factors'!AK63*'CC Factors'!$X16,0)</f>
        <v>7200</v>
      </c>
      <c r="AO24" s="173">
        <f>ROUND('CC Factors'!AL63*'CC Factors'!$X16,0)</f>
        <v>7200</v>
      </c>
      <c r="AP24" s="173">
        <f>ROUND('CC Factors'!AM63*'CC Factors'!$X16,0)</f>
        <v>7200</v>
      </c>
      <c r="AQ24" s="173">
        <f>ROUND('CC Factors'!AN63*'CC Factors'!$X16,0)</f>
        <v>7200</v>
      </c>
      <c r="AR24" s="173">
        <f>ROUND('CC Factors'!AO63*'CC Factors'!$X16,0)</f>
        <v>7200</v>
      </c>
      <c r="AS24" s="173">
        <f>ROUND('CC Factors'!AP63*'CC Factors'!$X16,0)</f>
        <v>7200</v>
      </c>
      <c r="AT24" s="173">
        <f>ROUND('CC Factors'!AQ63*'CC Factors'!$X16,0)</f>
        <v>7200</v>
      </c>
      <c r="AU24" s="536">
        <f>ROUND(SUM(AI24:AT24),0)</f>
        <v>86400</v>
      </c>
      <c r="AV24" s="69" t="s">
        <v>49</v>
      </c>
    </row>
    <row r="25" spans="1:48" ht="17.25" thickBot="1">
      <c r="A25" s="68"/>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68"/>
    </row>
    <row r="26" spans="1:48" ht="18">
      <c r="A26" s="309" t="s">
        <v>202</v>
      </c>
      <c r="B26" s="246"/>
      <c r="C26" s="369"/>
      <c r="D26" s="369"/>
      <c r="E26" s="246" t="s">
        <v>250</v>
      </c>
      <c r="G26" s="185"/>
      <c r="H26" s="185"/>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4" t="s">
        <v>94</v>
      </c>
    </row>
    <row r="27" spans="1:48" ht="16.5">
      <c r="A27" s="310" t="s">
        <v>203</v>
      </c>
      <c r="B27" s="99"/>
      <c r="C27" s="99"/>
      <c r="D27" s="99"/>
      <c r="E27" s="99"/>
      <c r="F27" s="99"/>
      <c r="G27" s="99"/>
      <c r="H27" s="550">
        <f>ROUND(SUM(B27:G27),0)</f>
        <v>0</v>
      </c>
      <c r="I27" s="233">
        <f>ROUND('CC Factors'!G75*'CC Factors'!$T$17*$G$6/23*0.6,0)</f>
        <v>0</v>
      </c>
      <c r="J27" s="311">
        <v>0</v>
      </c>
      <c r="K27" s="312">
        <v>0</v>
      </c>
      <c r="L27" s="312">
        <v>0</v>
      </c>
      <c r="M27" s="312">
        <v>0</v>
      </c>
      <c r="N27" s="312">
        <v>0</v>
      </c>
      <c r="O27" s="312">
        <v>0</v>
      </c>
      <c r="P27" s="312">
        <v>0</v>
      </c>
      <c r="Q27" s="312">
        <v>0</v>
      </c>
      <c r="R27" s="312">
        <v>0</v>
      </c>
      <c r="S27" s="312">
        <v>0</v>
      </c>
      <c r="T27" s="312">
        <v>0</v>
      </c>
      <c r="U27" s="536">
        <f>ROUND(SUM(I27:T27),0)</f>
        <v>0</v>
      </c>
      <c r="V27" s="312">
        <v>0</v>
      </c>
      <c r="W27" s="312">
        <v>0</v>
      </c>
      <c r="X27" s="312">
        <v>0</v>
      </c>
      <c r="Y27" s="312">
        <v>0</v>
      </c>
      <c r="Z27" s="312">
        <v>0</v>
      </c>
      <c r="AA27" s="312">
        <v>0</v>
      </c>
      <c r="AB27" s="312">
        <v>0</v>
      </c>
      <c r="AC27" s="312">
        <v>0</v>
      </c>
      <c r="AD27" s="312">
        <v>0</v>
      </c>
      <c r="AE27" s="312">
        <v>0</v>
      </c>
      <c r="AF27" s="312">
        <v>0</v>
      </c>
      <c r="AG27" s="312">
        <v>0</v>
      </c>
      <c r="AH27" s="536">
        <f>ROUND(SUM(V27:AG27),0)</f>
        <v>0</v>
      </c>
      <c r="AI27" s="312">
        <v>0</v>
      </c>
      <c r="AJ27" s="312">
        <v>0</v>
      </c>
      <c r="AK27" s="312">
        <v>0</v>
      </c>
      <c r="AL27" s="312">
        <v>0</v>
      </c>
      <c r="AM27" s="312">
        <v>0</v>
      </c>
      <c r="AN27" s="312">
        <v>0</v>
      </c>
      <c r="AO27" s="312">
        <v>0</v>
      </c>
      <c r="AP27" s="312">
        <v>0</v>
      </c>
      <c r="AQ27" s="312">
        <v>0</v>
      </c>
      <c r="AR27" s="312">
        <v>0</v>
      </c>
      <c r="AS27" s="312">
        <v>0</v>
      </c>
      <c r="AT27" s="312">
        <v>0</v>
      </c>
      <c r="AU27" s="536">
        <f>ROUND(SUM(AI27:AT27),0)</f>
        <v>0</v>
      </c>
      <c r="AV27" s="69" t="s">
        <v>203</v>
      </c>
    </row>
    <row r="28" spans="1:48" ht="16.5">
      <c r="A28" s="313" t="s">
        <v>204</v>
      </c>
      <c r="B28" s="99"/>
      <c r="C28" s="99"/>
      <c r="D28" s="99"/>
      <c r="E28" s="99"/>
      <c r="F28" s="99"/>
      <c r="G28" s="99"/>
      <c r="H28" s="550">
        <f>ROUND(SUM(B28:G28),0)</f>
        <v>0</v>
      </c>
      <c r="I28" s="233">
        <v>0</v>
      </c>
      <c r="J28" s="311">
        <v>0</v>
      </c>
      <c r="K28" s="312">
        <v>0</v>
      </c>
      <c r="L28" s="312">
        <v>0</v>
      </c>
      <c r="M28" s="312">
        <v>0</v>
      </c>
      <c r="N28" s="312">
        <v>0</v>
      </c>
      <c r="O28" s="312">
        <v>0</v>
      </c>
      <c r="P28" s="312">
        <v>0</v>
      </c>
      <c r="Q28" s="312">
        <v>0</v>
      </c>
      <c r="R28" s="312">
        <v>0</v>
      </c>
      <c r="S28" s="312">
        <v>0</v>
      </c>
      <c r="T28" s="312">
        <v>0</v>
      </c>
      <c r="U28" s="536">
        <f>ROUND(SUM(I28:T28),0)</f>
        <v>0</v>
      </c>
      <c r="V28" s="312">
        <v>0</v>
      </c>
      <c r="W28" s="312">
        <v>0</v>
      </c>
      <c r="X28" s="312">
        <v>0</v>
      </c>
      <c r="Y28" s="312">
        <v>0</v>
      </c>
      <c r="Z28" s="312">
        <v>0</v>
      </c>
      <c r="AA28" s="312">
        <v>0</v>
      </c>
      <c r="AB28" s="312">
        <v>0</v>
      </c>
      <c r="AC28" s="312">
        <v>0</v>
      </c>
      <c r="AD28" s="312">
        <v>0</v>
      </c>
      <c r="AE28" s="312">
        <v>0</v>
      </c>
      <c r="AF28" s="312">
        <v>0</v>
      </c>
      <c r="AG28" s="312">
        <v>0</v>
      </c>
      <c r="AH28" s="536">
        <f>ROUND(SUM(V28:AG28),0)</f>
        <v>0</v>
      </c>
      <c r="AI28" s="312">
        <v>0</v>
      </c>
      <c r="AJ28" s="312">
        <v>0</v>
      </c>
      <c r="AK28" s="312">
        <v>0</v>
      </c>
      <c r="AL28" s="312">
        <v>0</v>
      </c>
      <c r="AM28" s="312">
        <v>0</v>
      </c>
      <c r="AN28" s="312">
        <v>0</v>
      </c>
      <c r="AO28" s="312">
        <v>0</v>
      </c>
      <c r="AP28" s="312">
        <v>0</v>
      </c>
      <c r="AQ28" s="312">
        <v>0</v>
      </c>
      <c r="AR28" s="312">
        <v>0</v>
      </c>
      <c r="AS28" s="312">
        <v>0</v>
      </c>
      <c r="AT28" s="312">
        <v>0</v>
      </c>
      <c r="AU28" s="536">
        <f>ROUND(SUM(AI28:AT28),0)</f>
        <v>0</v>
      </c>
      <c r="AV28" s="69" t="s">
        <v>204</v>
      </c>
    </row>
    <row r="29" spans="1:48" ht="17.25" thickBot="1">
      <c r="A29" s="68"/>
      <c r="B29" s="183"/>
      <c r="C29" s="183"/>
      <c r="D29" s="183"/>
      <c r="E29" s="183"/>
      <c r="F29" s="183"/>
      <c r="G29" s="356"/>
      <c r="H29" s="356"/>
      <c r="I29" s="183"/>
      <c r="J29" s="183"/>
      <c r="K29" s="183"/>
      <c r="L29" s="183"/>
      <c r="M29" s="183"/>
      <c r="N29" s="183"/>
      <c r="O29" s="183"/>
      <c r="P29" s="183"/>
      <c r="Q29" s="183"/>
      <c r="R29" s="183"/>
      <c r="S29" s="183"/>
      <c r="T29" s="183" t="s">
        <v>284</v>
      </c>
      <c r="U29" s="535">
        <f>SUM(U13:U28)</f>
        <v>922249</v>
      </c>
      <c r="V29" s="183"/>
      <c r="W29" s="183"/>
      <c r="X29" s="183"/>
      <c r="Y29" s="183"/>
      <c r="Z29" s="183"/>
      <c r="AA29" s="183"/>
      <c r="AB29" s="183"/>
      <c r="AC29" s="183"/>
      <c r="AD29" s="183"/>
      <c r="AE29" s="183"/>
      <c r="AF29" s="183"/>
      <c r="AG29" s="183"/>
      <c r="AH29" s="170"/>
      <c r="AI29" s="183"/>
      <c r="AJ29" s="183"/>
      <c r="AK29" s="183"/>
      <c r="AL29" s="183"/>
      <c r="AM29" s="183"/>
      <c r="AN29" s="183"/>
      <c r="AO29" s="183"/>
      <c r="AP29" s="183"/>
      <c r="AQ29" s="183"/>
      <c r="AR29" s="183"/>
      <c r="AS29" s="183"/>
      <c r="AT29" s="183"/>
      <c r="AU29" s="183"/>
      <c r="AV29" s="68"/>
    </row>
    <row r="30" spans="1:47" ht="16.5">
      <c r="A30" s="387" t="s">
        <v>244</v>
      </c>
      <c r="B30" s="99"/>
      <c r="C30" s="99"/>
      <c r="D30" s="99"/>
      <c r="E30" s="99"/>
      <c r="F30" s="99"/>
      <c r="G30" s="545">
        <f>ROUND(G4+SUM(G24:G28),0)</f>
        <v>0</v>
      </c>
      <c r="H30" s="550">
        <f>ROUND(SUM(B30:G30),0)</f>
        <v>0</v>
      </c>
      <c r="I30" s="385">
        <f>SUM(I13:I28)</f>
        <v>72930</v>
      </c>
      <c r="J30" s="386">
        <f aca="true" t="shared" si="7" ref="J30:AG30">SUM(J13:J28)</f>
        <v>72930</v>
      </c>
      <c r="K30" s="386">
        <f t="shared" si="7"/>
        <v>72930</v>
      </c>
      <c r="L30" s="386">
        <f t="shared" si="7"/>
        <v>74758</v>
      </c>
      <c r="M30" s="386">
        <f t="shared" si="7"/>
        <v>74758</v>
      </c>
      <c r="N30" s="386">
        <f t="shared" si="7"/>
        <v>71533</v>
      </c>
      <c r="O30" s="386">
        <f t="shared" si="7"/>
        <v>75404</v>
      </c>
      <c r="P30" s="386">
        <f t="shared" si="7"/>
        <v>79166</v>
      </c>
      <c r="Q30" s="386">
        <f t="shared" si="7"/>
        <v>79704</v>
      </c>
      <c r="R30" s="386">
        <f t="shared" si="7"/>
        <v>80994</v>
      </c>
      <c r="S30" s="386">
        <f t="shared" si="7"/>
        <v>81531</v>
      </c>
      <c r="T30" s="386">
        <f t="shared" si="7"/>
        <v>85611</v>
      </c>
      <c r="U30" s="536">
        <f>ROUND(SUM(I30:T30),0)</f>
        <v>922249</v>
      </c>
      <c r="V30" s="386">
        <f t="shared" si="7"/>
        <v>92858</v>
      </c>
      <c r="W30" s="386">
        <f t="shared" si="7"/>
        <v>92858</v>
      </c>
      <c r="X30" s="386">
        <f t="shared" si="7"/>
        <v>92858</v>
      </c>
      <c r="Y30" s="386">
        <f t="shared" si="7"/>
        <v>94685</v>
      </c>
      <c r="Z30" s="386">
        <f t="shared" si="7"/>
        <v>94685</v>
      </c>
      <c r="AA30" s="386">
        <f t="shared" si="7"/>
        <v>91460</v>
      </c>
      <c r="AB30" s="386">
        <f t="shared" si="7"/>
        <v>95331</v>
      </c>
      <c r="AC30" s="386">
        <f t="shared" si="7"/>
        <v>99094</v>
      </c>
      <c r="AD30" s="386">
        <f t="shared" si="7"/>
        <v>99631</v>
      </c>
      <c r="AE30" s="386">
        <f t="shared" si="7"/>
        <v>100921</v>
      </c>
      <c r="AF30" s="386">
        <f t="shared" si="7"/>
        <v>101459</v>
      </c>
      <c r="AG30" s="386">
        <f t="shared" si="7"/>
        <v>103499</v>
      </c>
      <c r="AH30" s="536">
        <f>ROUND(SUM(V30:AG30),0)</f>
        <v>1159339</v>
      </c>
      <c r="AI30" s="386">
        <f aca="true" t="shared" si="8" ref="AI30:AT30">SUM(AI13:AI28)</f>
        <v>109725</v>
      </c>
      <c r="AJ30" s="386">
        <f t="shared" si="8"/>
        <v>109725</v>
      </c>
      <c r="AK30" s="386">
        <f t="shared" si="8"/>
        <v>109725</v>
      </c>
      <c r="AL30" s="386">
        <f t="shared" si="8"/>
        <v>110263</v>
      </c>
      <c r="AM30" s="386">
        <f t="shared" si="8"/>
        <v>110263</v>
      </c>
      <c r="AN30" s="386">
        <f t="shared" si="8"/>
        <v>106500</v>
      </c>
      <c r="AO30" s="386">
        <f t="shared" si="8"/>
        <v>106715</v>
      </c>
      <c r="AP30" s="386">
        <f t="shared" si="8"/>
        <v>111015</v>
      </c>
      <c r="AQ30" s="386">
        <f t="shared" si="8"/>
        <v>111553</v>
      </c>
      <c r="AR30" s="386">
        <f t="shared" si="8"/>
        <v>111553</v>
      </c>
      <c r="AS30" s="386">
        <f t="shared" si="8"/>
        <v>112090</v>
      </c>
      <c r="AT30" s="386">
        <f t="shared" si="8"/>
        <v>112090</v>
      </c>
      <c r="AU30" s="536">
        <f>ROUND(SUM(AI30:AT30),0)</f>
        <v>1321217</v>
      </c>
    </row>
    <row r="31" spans="1:48" ht="17.25" thickBot="1">
      <c r="A31" s="68"/>
      <c r="B31" s="183"/>
      <c r="C31" s="183"/>
      <c r="D31" s="183"/>
      <c r="E31" s="183"/>
      <c r="F31" s="183"/>
      <c r="G31" s="356"/>
      <c r="H31" s="356"/>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68"/>
    </row>
    <row r="32" spans="1:48" ht="18.75" thickBot="1">
      <c r="A32" s="309" t="s">
        <v>97</v>
      </c>
      <c r="B32" s="185"/>
      <c r="D32" s="183"/>
      <c r="E32" s="183"/>
      <c r="F32" s="183"/>
      <c r="G32" s="185"/>
      <c r="H32" s="185"/>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4" t="s">
        <v>97</v>
      </c>
    </row>
    <row r="33" spans="1:48" ht="16.5">
      <c r="A33" s="187" t="s">
        <v>200</v>
      </c>
      <c r="B33" s="492" t="s">
        <v>325</v>
      </c>
      <c r="C33" s="99"/>
      <c r="D33" s="99"/>
      <c r="E33" s="99"/>
      <c r="F33" s="99"/>
      <c r="G33" s="99"/>
      <c r="H33" s="550">
        <f>ROUND(SUM(B33:G33),0)</f>
        <v>0</v>
      </c>
      <c r="I33" s="233">
        <f>'Mortgage Calc'!$D$64</f>
        <v>0</v>
      </c>
      <c r="J33" s="21">
        <f>'Mortgage Calc'!$D$64</f>
        <v>0</v>
      </c>
      <c r="K33" s="21">
        <f>'Mortgage Calc'!$D$64</f>
        <v>0</v>
      </c>
      <c r="L33" s="21">
        <f>'Mortgage Calc'!$D$64</f>
        <v>0</v>
      </c>
      <c r="M33" s="21">
        <f>'Mortgage Calc'!$D$64</f>
        <v>0</v>
      </c>
      <c r="N33" s="21">
        <f>'Mortgage Calc'!$D$64</f>
        <v>0</v>
      </c>
      <c r="O33" s="21">
        <f>'Mortgage Calc'!$D$64</f>
        <v>0</v>
      </c>
      <c r="P33" s="21">
        <f>'Mortgage Calc'!$D$64</f>
        <v>0</v>
      </c>
      <c r="Q33" s="21">
        <f>'Mortgage Calc'!$D$64</f>
        <v>0</v>
      </c>
      <c r="R33" s="21">
        <f>'Mortgage Calc'!$D$64</f>
        <v>0</v>
      </c>
      <c r="S33" s="21">
        <f>'Mortgage Calc'!$F$59</f>
        <v>0</v>
      </c>
      <c r="T33" s="521">
        <f>'Mortgage Calc'!$F$59</f>
        <v>0</v>
      </c>
      <c r="U33" s="536">
        <f>SUM(I33:T33)</f>
        <v>0</v>
      </c>
      <c r="V33" s="520">
        <f>'Mortgage Calc'!$F$59</f>
        <v>0</v>
      </c>
      <c r="W33" s="21">
        <f>'Mortgage Calc'!$F$59</f>
        <v>0</v>
      </c>
      <c r="X33" s="21">
        <f>'Mortgage Calc'!$F$59</f>
        <v>0</v>
      </c>
      <c r="Y33" s="21">
        <f>'Mortgage Calc'!$F$59</f>
        <v>0</v>
      </c>
      <c r="Z33" s="21">
        <f>'Mortgage Calc'!$F$59</f>
        <v>0</v>
      </c>
      <c r="AA33" s="21">
        <f>'Mortgage Calc'!$F$59</f>
        <v>0</v>
      </c>
      <c r="AB33" s="21">
        <f>'Mortgage Calc'!$F$59</f>
        <v>0</v>
      </c>
      <c r="AC33" s="21">
        <v>0</v>
      </c>
      <c r="AD33" s="21">
        <v>0</v>
      </c>
      <c r="AE33" s="21">
        <v>0</v>
      </c>
      <c r="AF33" s="21">
        <v>0</v>
      </c>
      <c r="AG33" s="521">
        <v>0</v>
      </c>
      <c r="AH33" s="536">
        <f>SUM(V33:AG33)</f>
        <v>0</v>
      </c>
      <c r="AI33" s="21">
        <v>0</v>
      </c>
      <c r="AJ33" s="21">
        <v>0</v>
      </c>
      <c r="AK33" s="21">
        <v>0</v>
      </c>
      <c r="AL33" s="21">
        <v>0</v>
      </c>
      <c r="AM33" s="21">
        <v>0</v>
      </c>
      <c r="AN33" s="21">
        <v>0</v>
      </c>
      <c r="AO33" s="21">
        <v>0</v>
      </c>
      <c r="AP33" s="21">
        <v>0</v>
      </c>
      <c r="AQ33" s="21">
        <v>0</v>
      </c>
      <c r="AR33" s="21">
        <v>0</v>
      </c>
      <c r="AS33" s="21">
        <v>0</v>
      </c>
      <c r="AT33" s="521">
        <v>0</v>
      </c>
      <c r="AU33" s="536">
        <f>SUM(AI33:AT33)</f>
        <v>0</v>
      </c>
      <c r="AV33" s="279" t="s">
        <v>200</v>
      </c>
    </row>
    <row r="34" spans="1:48" ht="16.5">
      <c r="A34" s="188" t="s">
        <v>201</v>
      </c>
      <c r="B34" s="201"/>
      <c r="C34" s="201"/>
      <c r="D34" s="201"/>
      <c r="E34" s="201"/>
      <c r="F34" s="201"/>
      <c r="G34" s="234"/>
      <c r="H34" s="550">
        <f>ROUND(SUM(B34:G34),0)</f>
        <v>0</v>
      </c>
      <c r="I34" s="236">
        <v>0</v>
      </c>
      <c r="J34" s="235">
        <v>0</v>
      </c>
      <c r="K34" s="201">
        <v>0</v>
      </c>
      <c r="L34" s="201">
        <v>0</v>
      </c>
      <c r="M34" s="201">
        <v>0</v>
      </c>
      <c r="N34" s="201">
        <v>0</v>
      </c>
      <c r="O34" s="201">
        <v>0</v>
      </c>
      <c r="P34" s="201">
        <v>0</v>
      </c>
      <c r="Q34" s="201">
        <v>0</v>
      </c>
      <c r="R34" s="201">
        <v>0</v>
      </c>
      <c r="S34" s="201">
        <v>0</v>
      </c>
      <c r="T34" s="201">
        <v>0</v>
      </c>
      <c r="U34" s="536">
        <f>SUM(I34:T34)</f>
        <v>0</v>
      </c>
      <c r="V34" s="201">
        <v>0</v>
      </c>
      <c r="W34" s="201">
        <v>0</v>
      </c>
      <c r="X34" s="201">
        <v>0</v>
      </c>
      <c r="Y34" s="201">
        <v>0</v>
      </c>
      <c r="Z34" s="201">
        <v>0</v>
      </c>
      <c r="AA34" s="201">
        <v>0</v>
      </c>
      <c r="AB34" s="201">
        <v>0</v>
      </c>
      <c r="AC34" s="201">
        <v>0</v>
      </c>
      <c r="AD34" s="201">
        <v>0</v>
      </c>
      <c r="AE34" s="201">
        <v>0</v>
      </c>
      <c r="AF34" s="201">
        <v>0</v>
      </c>
      <c r="AG34" s="201">
        <v>0</v>
      </c>
      <c r="AH34" s="536">
        <f>SUM(V34:AG34)</f>
        <v>0</v>
      </c>
      <c r="AI34" s="201">
        <v>0</v>
      </c>
      <c r="AJ34" s="201">
        <v>0</v>
      </c>
      <c r="AK34" s="201">
        <v>0</v>
      </c>
      <c r="AL34" s="201">
        <v>0</v>
      </c>
      <c r="AM34" s="201">
        <v>0</v>
      </c>
      <c r="AN34" s="201">
        <v>0</v>
      </c>
      <c r="AO34" s="201">
        <v>0</v>
      </c>
      <c r="AP34" s="201">
        <v>0</v>
      </c>
      <c r="AQ34" s="201">
        <v>0</v>
      </c>
      <c r="AR34" s="201">
        <v>0</v>
      </c>
      <c r="AS34" s="201">
        <v>0</v>
      </c>
      <c r="AT34" s="201">
        <v>0</v>
      </c>
      <c r="AU34" s="536">
        <f>SUM(AI34:AT34)</f>
        <v>0</v>
      </c>
      <c r="AV34" s="280" t="s">
        <v>201</v>
      </c>
    </row>
    <row r="35" spans="1:48" ht="17.25" thickBot="1">
      <c r="A35" s="170"/>
      <c r="B35" s="170"/>
      <c r="C35" s="170"/>
      <c r="D35" s="170"/>
      <c r="E35" s="170"/>
      <c r="F35" s="170"/>
      <c r="G35" s="170"/>
      <c r="H35" s="170"/>
      <c r="I35" s="170"/>
      <c r="J35" s="170"/>
      <c r="K35" s="170"/>
      <c r="L35" s="170"/>
      <c r="M35" s="170"/>
      <c r="N35" s="170"/>
      <c r="O35" s="170"/>
      <c r="P35" s="170"/>
      <c r="Q35" s="170"/>
      <c r="R35" s="170"/>
      <c r="S35" s="170"/>
      <c r="T35" s="169" t="s">
        <v>284</v>
      </c>
      <c r="U35" s="535">
        <f>U10+SUM(U30:U34)</f>
        <v>943749</v>
      </c>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83"/>
      <c r="AV35" s="170"/>
    </row>
    <row r="36" spans="1:48" s="190" customFormat="1" ht="16.5">
      <c r="A36" s="387" t="s">
        <v>252</v>
      </c>
      <c r="B36" s="300">
        <f aca="true" t="shared" si="9" ref="B36:G36">B10+SUM(B30:B34)</f>
        <v>0</v>
      </c>
      <c r="C36" s="300">
        <f t="shared" si="9"/>
        <v>0</v>
      </c>
      <c r="D36" s="300">
        <f t="shared" si="9"/>
        <v>0</v>
      </c>
      <c r="E36" s="300">
        <f t="shared" si="9"/>
        <v>0</v>
      </c>
      <c r="F36" s="300">
        <f t="shared" si="9"/>
        <v>0</v>
      </c>
      <c r="G36" s="300">
        <f t="shared" si="9"/>
        <v>0</v>
      </c>
      <c r="H36" s="550">
        <f>ROUND(SUM(B36:G36),0)</f>
        <v>0</v>
      </c>
      <c r="I36" s="238">
        <f>I10+SUM(I30:I34)</f>
        <v>91430</v>
      </c>
      <c r="J36" s="367">
        <f>J10+SUM(J30:J34)</f>
        <v>72930</v>
      </c>
      <c r="K36" s="300">
        <f>K10+SUM(K30:K34)</f>
        <v>72930</v>
      </c>
      <c r="L36" s="300">
        <f aca="true" t="shared" si="10" ref="L36:T36">L10+SUM(L30:L34)</f>
        <v>75008</v>
      </c>
      <c r="M36" s="300">
        <f t="shared" si="10"/>
        <v>74758</v>
      </c>
      <c r="N36" s="300">
        <f t="shared" si="10"/>
        <v>71533</v>
      </c>
      <c r="O36" s="300">
        <f t="shared" si="10"/>
        <v>75904</v>
      </c>
      <c r="P36" s="300">
        <f t="shared" si="10"/>
        <v>80041</v>
      </c>
      <c r="Q36" s="300">
        <f t="shared" si="10"/>
        <v>79829</v>
      </c>
      <c r="R36" s="300">
        <f t="shared" si="10"/>
        <v>81119</v>
      </c>
      <c r="S36" s="300">
        <f t="shared" si="10"/>
        <v>81656</v>
      </c>
      <c r="T36" s="300">
        <f t="shared" si="10"/>
        <v>86611</v>
      </c>
      <c r="U36" s="536">
        <f>SUM(I36:T36)</f>
        <v>943749</v>
      </c>
      <c r="V36" s="300">
        <f aca="true" t="shared" si="11" ref="V36:AG36">V10+SUM(V30:V34)</f>
        <v>116233</v>
      </c>
      <c r="W36" s="300">
        <f t="shared" si="11"/>
        <v>92858</v>
      </c>
      <c r="X36" s="300">
        <f t="shared" si="11"/>
        <v>92858</v>
      </c>
      <c r="Y36" s="300">
        <f t="shared" si="11"/>
        <v>94935</v>
      </c>
      <c r="Z36" s="300">
        <f t="shared" si="11"/>
        <v>94685</v>
      </c>
      <c r="AA36" s="300">
        <f t="shared" si="11"/>
        <v>91460</v>
      </c>
      <c r="AB36" s="300">
        <f t="shared" si="11"/>
        <v>95831</v>
      </c>
      <c r="AC36" s="300">
        <f t="shared" si="11"/>
        <v>99969</v>
      </c>
      <c r="AD36" s="300">
        <f t="shared" si="11"/>
        <v>99706</v>
      </c>
      <c r="AE36" s="300">
        <f t="shared" si="11"/>
        <v>101046</v>
      </c>
      <c r="AF36" s="300">
        <f t="shared" si="11"/>
        <v>101584</v>
      </c>
      <c r="AG36" s="300">
        <f t="shared" si="11"/>
        <v>104049</v>
      </c>
      <c r="AH36" s="536">
        <f>SUM(V36:AG36)</f>
        <v>1185214</v>
      </c>
      <c r="AI36" s="300">
        <f aca="true" t="shared" si="12" ref="AI36:AT36">AI10+SUM(AI30:AI34)</f>
        <v>135975</v>
      </c>
      <c r="AJ36" s="300">
        <f t="shared" si="12"/>
        <v>109725</v>
      </c>
      <c r="AK36" s="300">
        <f t="shared" si="12"/>
        <v>109725</v>
      </c>
      <c r="AL36" s="300">
        <f t="shared" si="12"/>
        <v>110388</v>
      </c>
      <c r="AM36" s="300">
        <f t="shared" si="12"/>
        <v>110263</v>
      </c>
      <c r="AN36" s="300">
        <f t="shared" si="12"/>
        <v>106500</v>
      </c>
      <c r="AO36" s="300">
        <f t="shared" si="12"/>
        <v>106840</v>
      </c>
      <c r="AP36" s="300">
        <f t="shared" si="12"/>
        <v>112015</v>
      </c>
      <c r="AQ36" s="300">
        <f t="shared" si="12"/>
        <v>111628</v>
      </c>
      <c r="AR36" s="300">
        <f t="shared" si="12"/>
        <v>111553</v>
      </c>
      <c r="AS36" s="300">
        <f t="shared" si="12"/>
        <v>112215</v>
      </c>
      <c r="AT36" s="300">
        <f t="shared" si="12"/>
        <v>112140</v>
      </c>
      <c r="AU36" s="536">
        <f>SUM(AI36:AT36)</f>
        <v>1348967</v>
      </c>
      <c r="AV36" s="278" t="s">
        <v>181</v>
      </c>
    </row>
    <row r="37" spans="1:48" ht="16.5">
      <c r="A37" s="170"/>
      <c r="B37" s="170"/>
      <c r="C37" s="170"/>
      <c r="D37" s="170"/>
      <c r="E37" s="170"/>
      <c r="F37" s="170"/>
      <c r="G37" s="170"/>
      <c r="H37" s="170"/>
      <c r="I37" s="170"/>
      <c r="J37" s="170"/>
      <c r="K37" s="170"/>
      <c r="L37" s="170"/>
      <c r="M37" s="170"/>
      <c r="N37" s="170"/>
      <c r="O37" s="170"/>
      <c r="P37" s="170"/>
      <c r="Q37" s="170"/>
      <c r="R37" s="170"/>
      <c r="S37" s="170"/>
      <c r="T37" s="170"/>
      <c r="U37" s="68"/>
      <c r="V37" s="170"/>
      <c r="W37" s="170"/>
      <c r="X37" s="170"/>
      <c r="Y37" s="170"/>
      <c r="Z37" s="170"/>
      <c r="AA37" s="170"/>
      <c r="AB37" s="170"/>
      <c r="AC37" s="170"/>
      <c r="AD37" s="170"/>
      <c r="AE37" s="170"/>
      <c r="AF37" s="170"/>
      <c r="AG37" s="170"/>
      <c r="AH37" s="68"/>
      <c r="AI37" s="170"/>
      <c r="AJ37" s="170"/>
      <c r="AK37" s="170"/>
      <c r="AL37" s="170"/>
      <c r="AM37" s="170"/>
      <c r="AN37" s="170"/>
      <c r="AO37" s="170"/>
      <c r="AP37" s="170"/>
      <c r="AQ37" s="170"/>
      <c r="AR37" s="170"/>
      <c r="AS37" s="170"/>
      <c r="AT37" s="170"/>
      <c r="AU37" s="68"/>
      <c r="AV37" s="68"/>
    </row>
    <row r="38" spans="1:48" ht="19.5" customHeight="1">
      <c r="A38" s="293" t="s">
        <v>342</v>
      </c>
      <c r="B38" s="90"/>
      <c r="C38" s="90"/>
      <c r="D38" s="90"/>
      <c r="E38" s="90"/>
      <c r="F38" s="90"/>
      <c r="G38" s="170"/>
      <c r="H38" s="170"/>
      <c r="I38" s="170"/>
      <c r="J38" s="170"/>
      <c r="K38" s="170"/>
      <c r="L38" s="170"/>
      <c r="M38" s="170"/>
      <c r="N38" s="170"/>
      <c r="O38" s="170"/>
      <c r="P38" s="170"/>
      <c r="Q38" s="170"/>
      <c r="R38" s="170"/>
      <c r="S38" s="170"/>
      <c r="T38" s="170"/>
      <c r="U38" s="68"/>
      <c r="V38" s="170"/>
      <c r="W38" s="170"/>
      <c r="X38" s="170"/>
      <c r="Y38" s="170"/>
      <c r="Z38" s="170"/>
      <c r="AA38" s="170"/>
      <c r="AB38" s="170"/>
      <c r="AC38" s="170"/>
      <c r="AD38" s="170"/>
      <c r="AE38" s="170"/>
      <c r="AF38" s="170"/>
      <c r="AG38" s="170"/>
      <c r="AH38" s="68"/>
      <c r="AI38" s="170"/>
      <c r="AJ38" s="170"/>
      <c r="AK38" s="170"/>
      <c r="AL38" s="170"/>
      <c r="AM38" s="170"/>
      <c r="AN38" s="170"/>
      <c r="AO38" s="170"/>
      <c r="AP38" s="170"/>
      <c r="AQ38" s="170"/>
      <c r="AR38" s="170"/>
      <c r="AS38" s="170"/>
      <c r="AT38" s="170"/>
      <c r="AU38" s="68"/>
      <c r="AV38" s="68"/>
    </row>
    <row r="39" spans="1:48" ht="16.5">
      <c r="A39" s="68"/>
      <c r="B39" s="170"/>
      <c r="C39" s="170"/>
      <c r="D39" s="170"/>
      <c r="E39" s="170"/>
      <c r="F39" s="170"/>
      <c r="G39" s="170"/>
      <c r="H39" s="170"/>
      <c r="I39" s="170"/>
      <c r="J39" s="170"/>
      <c r="K39" s="170"/>
      <c r="L39" s="170"/>
      <c r="M39" s="170"/>
      <c r="N39" s="170"/>
      <c r="O39" s="170"/>
      <c r="P39" s="170"/>
      <c r="Q39" s="170"/>
      <c r="R39" s="170"/>
      <c r="S39" s="170"/>
      <c r="T39" s="170"/>
      <c r="U39" s="68"/>
      <c r="V39" s="170"/>
      <c r="W39" s="170"/>
      <c r="X39" s="170"/>
      <c r="Y39" s="170"/>
      <c r="Z39" s="170"/>
      <c r="AA39" s="170"/>
      <c r="AB39" s="170"/>
      <c r="AC39" s="170"/>
      <c r="AD39" s="170"/>
      <c r="AE39" s="170"/>
      <c r="AF39" s="170"/>
      <c r="AG39" s="170"/>
      <c r="AH39" s="68"/>
      <c r="AI39" s="170"/>
      <c r="AJ39" s="170"/>
      <c r="AK39" s="170"/>
      <c r="AL39" s="170"/>
      <c r="AM39" s="170"/>
      <c r="AN39" s="170"/>
      <c r="AO39" s="170"/>
      <c r="AP39" s="170"/>
      <c r="AQ39" s="170"/>
      <c r="AR39" s="170"/>
      <c r="AS39" s="170"/>
      <c r="AT39" s="170"/>
      <c r="AU39" s="68"/>
      <c r="AV39" s="68"/>
    </row>
    <row r="40" spans="1:48" ht="27.75" customHeight="1">
      <c r="A40" s="68"/>
      <c r="B40" s="170"/>
      <c r="C40" s="170"/>
      <c r="D40" s="170"/>
      <c r="E40" s="170"/>
      <c r="F40" s="170"/>
      <c r="G40" s="170"/>
      <c r="H40" s="170"/>
      <c r="I40" s="170"/>
      <c r="J40" s="170"/>
      <c r="K40" s="170"/>
      <c r="L40" s="170"/>
      <c r="M40" s="170"/>
      <c r="N40" s="170"/>
      <c r="O40" s="170"/>
      <c r="P40" s="170"/>
      <c r="Q40" s="170"/>
      <c r="R40" s="170"/>
      <c r="S40" s="170"/>
      <c r="T40" s="170"/>
      <c r="U40" s="68"/>
      <c r="V40" s="170"/>
      <c r="W40" s="170"/>
      <c r="X40" s="170"/>
      <c r="Y40" s="170"/>
      <c r="Z40" s="170"/>
      <c r="AA40" s="170"/>
      <c r="AB40" s="170"/>
      <c r="AC40" s="170"/>
      <c r="AD40" s="170"/>
      <c r="AE40" s="170"/>
      <c r="AF40" s="170"/>
      <c r="AG40" s="170"/>
      <c r="AH40" s="68"/>
      <c r="AI40" s="170"/>
      <c r="AJ40" s="170"/>
      <c r="AK40" s="170"/>
      <c r="AL40" s="170"/>
      <c r="AM40" s="170"/>
      <c r="AN40" s="170"/>
      <c r="AO40" s="170"/>
      <c r="AP40" s="170"/>
      <c r="AQ40" s="170"/>
      <c r="AR40" s="170"/>
      <c r="AS40" s="170"/>
      <c r="AT40" s="170"/>
      <c r="AU40" s="68"/>
      <c r="AV40" s="68"/>
    </row>
    <row r="41" spans="1:48" ht="29.25" customHeight="1">
      <c r="A41" s="68"/>
      <c r="G41" s="170"/>
      <c r="H41" s="170"/>
      <c r="I41" s="170"/>
      <c r="J41" s="170"/>
      <c r="K41" s="170"/>
      <c r="L41" s="170"/>
      <c r="M41" s="170"/>
      <c r="N41" s="170"/>
      <c r="O41" s="170"/>
      <c r="P41" s="170"/>
      <c r="Q41" s="170"/>
      <c r="R41" s="170"/>
      <c r="S41" s="170"/>
      <c r="T41" s="170"/>
      <c r="U41" s="68"/>
      <c r="V41" s="170"/>
      <c r="W41" s="170"/>
      <c r="X41" s="170"/>
      <c r="Y41" s="170"/>
      <c r="Z41" s="170"/>
      <c r="AA41" s="170"/>
      <c r="AB41" s="170"/>
      <c r="AC41" s="170"/>
      <c r="AD41" s="170"/>
      <c r="AE41" s="170"/>
      <c r="AF41" s="170"/>
      <c r="AG41" s="170"/>
      <c r="AH41" s="68"/>
      <c r="AI41" s="170"/>
      <c r="AJ41" s="170"/>
      <c r="AK41" s="170"/>
      <c r="AL41" s="170"/>
      <c r="AM41" s="170"/>
      <c r="AN41" s="170"/>
      <c r="AO41" s="170"/>
      <c r="AP41" s="170"/>
      <c r="AQ41" s="170"/>
      <c r="AR41" s="170"/>
      <c r="AS41" s="170"/>
      <c r="AT41" s="170"/>
      <c r="AU41" s="68"/>
      <c r="AV41" s="68"/>
    </row>
    <row r="42" spans="1:48" ht="16.5" customHeight="1">
      <c r="A42" s="68"/>
      <c r="B42" s="77"/>
      <c r="C42" s="77"/>
      <c r="D42" s="77"/>
      <c r="E42" s="77"/>
      <c r="F42" s="77"/>
      <c r="G42" s="77"/>
      <c r="H42" s="77"/>
      <c r="I42" s="77"/>
      <c r="J42" s="77"/>
      <c r="K42" s="77"/>
      <c r="L42" s="77"/>
      <c r="M42" s="77"/>
      <c r="N42" s="77"/>
      <c r="O42" s="77"/>
      <c r="P42" s="77"/>
      <c r="Q42" s="68"/>
      <c r="R42" s="68"/>
      <c r="S42" s="68"/>
      <c r="T42" s="68"/>
      <c r="U42" s="68"/>
      <c r="V42" s="68"/>
      <c r="W42" s="68"/>
      <c r="X42" s="68"/>
      <c r="Y42" s="68"/>
      <c r="Z42" s="528" t="s">
        <v>337</v>
      </c>
      <c r="AA42" s="529"/>
      <c r="AB42" s="529"/>
      <c r="AC42" s="529"/>
      <c r="AD42" s="68"/>
      <c r="AE42" s="68"/>
      <c r="AF42" s="68"/>
      <c r="AG42" s="68"/>
      <c r="AH42" s="68"/>
      <c r="AI42" s="68"/>
      <c r="AJ42" s="68"/>
      <c r="AK42" s="68"/>
      <c r="AL42" s="68"/>
      <c r="AM42" s="528" t="s">
        <v>338</v>
      </c>
      <c r="AN42" s="529"/>
      <c r="AO42" s="529"/>
      <c r="AP42" s="529"/>
      <c r="AQ42" s="68"/>
      <c r="AR42" s="68"/>
      <c r="AS42" s="68"/>
      <c r="AT42" s="68"/>
      <c r="AU42" s="68"/>
      <c r="AV42" s="68"/>
    </row>
    <row r="43" spans="1:48" ht="20.25" customHeight="1" thickBot="1">
      <c r="A43" s="94" t="s">
        <v>14</v>
      </c>
      <c r="B43" s="362">
        <v>0.0765</v>
      </c>
      <c r="C43" s="170"/>
      <c r="D43" s="77"/>
      <c r="E43" s="77"/>
      <c r="F43" s="77"/>
      <c r="G43" s="77"/>
      <c r="H43" s="77"/>
      <c r="I43" s="77"/>
      <c r="J43" s="77"/>
      <c r="K43" s="77"/>
      <c r="L43" s="77"/>
      <c r="M43" s="77"/>
      <c r="N43" s="77"/>
      <c r="O43" s="77"/>
      <c r="P43" s="77"/>
      <c r="Q43" s="68"/>
      <c r="R43" s="68"/>
      <c r="S43" s="68"/>
      <c r="T43" s="68"/>
      <c r="U43" s="68"/>
      <c r="V43" s="68"/>
      <c r="W43" s="68"/>
      <c r="X43" s="68"/>
      <c r="Y43" s="68"/>
      <c r="Z43" s="68"/>
      <c r="AA43" s="68"/>
      <c r="AB43" s="68"/>
      <c r="AC43" s="68"/>
      <c r="AD43" s="68"/>
      <c r="AE43" s="68"/>
      <c r="AF43" s="68"/>
      <c r="AG43" s="68"/>
      <c r="AH43" s="87"/>
      <c r="AI43" s="68"/>
      <c r="AJ43" s="68"/>
      <c r="AK43" s="68"/>
      <c r="AL43" s="68"/>
      <c r="AM43" s="68"/>
      <c r="AN43" s="68"/>
      <c r="AO43" s="68"/>
      <c r="AP43" s="68"/>
      <c r="AQ43" s="68"/>
      <c r="AR43" s="68"/>
      <c r="AS43" s="68"/>
      <c r="AT43" s="68"/>
      <c r="AU43" s="87"/>
      <c r="AV43" s="68"/>
    </row>
    <row r="44" spans="1:48" s="89" customFormat="1" ht="39" customHeight="1" thickBot="1">
      <c r="A44" s="294" t="s">
        <v>98</v>
      </c>
      <c r="B44" s="370">
        <f>B5</f>
        <v>44655</v>
      </c>
      <c r="C44" s="370">
        <f>C5</f>
        <v>44685</v>
      </c>
      <c r="D44" s="370">
        <f>D5</f>
        <v>44715</v>
      </c>
      <c r="E44" s="370">
        <f>E5</f>
        <v>44745</v>
      </c>
      <c r="F44" s="370">
        <f aca="true" t="shared" si="13" ref="F44:T44">F5</f>
        <v>44775</v>
      </c>
      <c r="G44" s="611">
        <f t="shared" si="13"/>
        <v>44805</v>
      </c>
      <c r="H44" s="396" t="s">
        <v>248</v>
      </c>
      <c r="I44" s="388">
        <f>'Mortgage Calc'!$H$16</f>
        <v>44835</v>
      </c>
      <c r="J44" s="372">
        <f t="shared" si="13"/>
        <v>44866</v>
      </c>
      <c r="K44" s="370">
        <f t="shared" si="13"/>
        <v>44897</v>
      </c>
      <c r="L44" s="370">
        <f t="shared" si="13"/>
        <v>44928</v>
      </c>
      <c r="M44" s="370">
        <f t="shared" si="13"/>
        <v>44959</v>
      </c>
      <c r="N44" s="370">
        <f t="shared" si="13"/>
        <v>44990</v>
      </c>
      <c r="O44" s="370">
        <f t="shared" si="13"/>
        <v>45021</v>
      </c>
      <c r="P44" s="370">
        <f t="shared" si="13"/>
        <v>45052</v>
      </c>
      <c r="Q44" s="370">
        <f t="shared" si="13"/>
        <v>45083</v>
      </c>
      <c r="R44" s="370">
        <f t="shared" si="13"/>
        <v>45114</v>
      </c>
      <c r="S44" s="370">
        <f t="shared" si="13"/>
        <v>45145</v>
      </c>
      <c r="T44" s="371">
        <f t="shared" si="13"/>
        <v>45176</v>
      </c>
      <c r="U44" s="397" t="str">
        <f>U5</f>
        <v>12 Month Totals</v>
      </c>
      <c r="V44" s="166">
        <f aca="true" t="shared" si="14" ref="V44:AG44">V5</f>
        <v>45207</v>
      </c>
      <c r="W44" s="166">
        <f t="shared" si="14"/>
        <v>45238</v>
      </c>
      <c r="X44" s="166">
        <f t="shared" si="14"/>
        <v>45269</v>
      </c>
      <c r="Y44" s="166">
        <f t="shared" si="14"/>
        <v>45300</v>
      </c>
      <c r="Z44" s="166">
        <f t="shared" si="14"/>
        <v>45331</v>
      </c>
      <c r="AA44" s="166">
        <f t="shared" si="14"/>
        <v>45362</v>
      </c>
      <c r="AB44" s="166">
        <f t="shared" si="14"/>
        <v>45393</v>
      </c>
      <c r="AC44" s="166">
        <f t="shared" si="14"/>
        <v>45424</v>
      </c>
      <c r="AD44" s="166">
        <f t="shared" si="14"/>
        <v>45455</v>
      </c>
      <c r="AE44" s="166">
        <f t="shared" si="14"/>
        <v>45486</v>
      </c>
      <c r="AF44" s="166">
        <f t="shared" si="14"/>
        <v>45517</v>
      </c>
      <c r="AG44" s="166">
        <f t="shared" si="14"/>
        <v>45548</v>
      </c>
      <c r="AH44" s="397" t="str">
        <f>AH5</f>
        <v>12 Month Totals</v>
      </c>
      <c r="AI44" s="166">
        <f aca="true" t="shared" si="15" ref="AI44:AT44">AI5</f>
        <v>45578</v>
      </c>
      <c r="AJ44" s="166">
        <f t="shared" si="15"/>
        <v>45608</v>
      </c>
      <c r="AK44" s="166">
        <f t="shared" si="15"/>
        <v>45638</v>
      </c>
      <c r="AL44" s="166">
        <f t="shared" si="15"/>
        <v>45668</v>
      </c>
      <c r="AM44" s="166">
        <f t="shared" si="15"/>
        <v>45698</v>
      </c>
      <c r="AN44" s="166">
        <f t="shared" si="15"/>
        <v>45728</v>
      </c>
      <c r="AO44" s="166">
        <f t="shared" si="15"/>
        <v>45758</v>
      </c>
      <c r="AP44" s="166">
        <f t="shared" si="15"/>
        <v>45788</v>
      </c>
      <c r="AQ44" s="166">
        <f t="shared" si="15"/>
        <v>45818</v>
      </c>
      <c r="AR44" s="166">
        <f t="shared" si="15"/>
        <v>45848</v>
      </c>
      <c r="AS44" s="166">
        <f t="shared" si="15"/>
        <v>45878</v>
      </c>
      <c r="AT44" s="166">
        <f t="shared" si="15"/>
        <v>45908</v>
      </c>
      <c r="AU44" s="397" t="str">
        <f>AU5</f>
        <v>12 Month Totals</v>
      </c>
      <c r="AV44" s="75"/>
    </row>
    <row r="45" spans="1:48" ht="17.25" thickTop="1">
      <c r="A45" s="202" t="s">
        <v>83</v>
      </c>
      <c r="B45" s="201"/>
      <c r="C45" s="201"/>
      <c r="D45" s="230">
        <f>'CC Factors'!B91*'CC Factors'!$C$6/12</f>
        <v>0</v>
      </c>
      <c r="E45" s="230">
        <f>'CC Factors'!C91*'CC Factors'!$C$6/12</f>
        <v>4643.666666666667</v>
      </c>
      <c r="F45" s="230">
        <f>'CC Factors'!D91*'CC Factors'!$C$6/12</f>
        <v>4643.666666666667</v>
      </c>
      <c r="G45" s="230">
        <f>'CC Factors'!E91*'CC Factors'!$C$6/12</f>
        <v>4643.666666666667</v>
      </c>
      <c r="H45" s="550">
        <f aca="true" t="shared" si="16" ref="H45:H56">ROUND(SUM(B45:G45),0)</f>
        <v>13931</v>
      </c>
      <c r="I45" s="233">
        <f>ROUND('CC Factors'!F91*'CC Factors'!$C6/12,0)</f>
        <v>4644</v>
      </c>
      <c r="J45" s="230">
        <f>ROUND('CC Factors'!G91*'CC Factors'!$C6/12,0)</f>
        <v>4644</v>
      </c>
      <c r="K45" s="230">
        <f>ROUND('CC Factors'!H91*'CC Factors'!$C6/12,0)</f>
        <v>4644</v>
      </c>
      <c r="L45" s="230">
        <f>ROUND('CC Factors'!I91*'CC Factors'!$C6/12,0)</f>
        <v>4644</v>
      </c>
      <c r="M45" s="230">
        <f>ROUND('CC Factors'!J91*'CC Factors'!$C6/12,0)</f>
        <v>4644</v>
      </c>
      <c r="N45" s="230">
        <f>ROUND('CC Factors'!K91*'CC Factors'!$C6/12,0)</f>
        <v>4644</v>
      </c>
      <c r="O45" s="230">
        <f>ROUND('CC Factors'!L91*'CC Factors'!$C6/12,0)</f>
        <v>4644</v>
      </c>
      <c r="P45" s="230">
        <f>ROUND('CC Factors'!M91*'CC Factors'!$C6/12,0)</f>
        <v>4644</v>
      </c>
      <c r="Q45" s="230">
        <f>ROUND('CC Factors'!N91*'CC Factors'!$C6/12,0)</f>
        <v>4644</v>
      </c>
      <c r="R45" s="230">
        <f>ROUND('CC Factors'!O91*'CC Factors'!$C6/12,0)</f>
        <v>4644</v>
      </c>
      <c r="S45" s="230">
        <f>ROUND('CC Factors'!P91*'CC Factors'!$C6/12,0)</f>
        <v>4644</v>
      </c>
      <c r="T45" s="230">
        <f>ROUND('CC Factors'!Q91*'CC Factors'!$C6/12,0)</f>
        <v>4644</v>
      </c>
      <c r="U45" s="536">
        <f aca="true" t="shared" si="17" ref="U45:U56">ROUND(SUM(I45:T45),0)</f>
        <v>55728</v>
      </c>
      <c r="V45" s="230">
        <f>ROUND('CC Factors'!S91*'CC Factors'!$C6/12,0)</f>
        <v>4644</v>
      </c>
      <c r="W45" s="230">
        <f>ROUND('CC Factors'!T91*'CC Factors'!$C6/12,0)</f>
        <v>4644</v>
      </c>
      <c r="X45" s="230">
        <f>ROUND('CC Factors'!U91*'CC Factors'!$C6/12,0)</f>
        <v>4644</v>
      </c>
      <c r="Y45" s="230">
        <f>ROUND('CC Factors'!V91*'CC Factors'!$C6/12,0)</f>
        <v>4644</v>
      </c>
      <c r="Z45" s="230">
        <f>ROUND('CC Factors'!W91*'CC Factors'!$C6/12,0)</f>
        <v>4644</v>
      </c>
      <c r="AA45" s="230">
        <f>ROUND('CC Factors'!X91*'CC Factors'!$C6/12,0)</f>
        <v>4644</v>
      </c>
      <c r="AB45" s="230">
        <f>ROUND('CC Factors'!Y91*'CC Factors'!$C6/12,0)</f>
        <v>4644</v>
      </c>
      <c r="AC45" s="230">
        <f>ROUND('CC Factors'!Z91*'CC Factors'!$C6/12,0)</f>
        <v>4644</v>
      </c>
      <c r="AD45" s="230">
        <f>ROUND('CC Factors'!AA91*'CC Factors'!$C6/12,0)</f>
        <v>4644</v>
      </c>
      <c r="AE45" s="230">
        <f>ROUND('CC Factors'!AB91*'CC Factors'!$C6/12,0)</f>
        <v>4644</v>
      </c>
      <c r="AF45" s="230">
        <f>ROUND('CC Factors'!AC91*'CC Factors'!$C6/12,0)</f>
        <v>4644</v>
      </c>
      <c r="AG45" s="230">
        <f>ROUND('CC Factors'!AD91*'CC Factors'!$C6/12,0)</f>
        <v>4644</v>
      </c>
      <c r="AH45" s="536">
        <f aca="true" t="shared" si="18" ref="AH45:AH56">ROUND(SUM(V45:AG45),0)</f>
        <v>55728</v>
      </c>
      <c r="AI45" s="230">
        <f>ROUND('CC Factors'!AF91*'CC Factors'!$C6/12,0)</f>
        <v>4644</v>
      </c>
      <c r="AJ45" s="230">
        <f>ROUND('CC Factors'!AG91*'CC Factors'!$C6/12,0)</f>
        <v>4644</v>
      </c>
      <c r="AK45" s="230">
        <f>ROUND('CC Factors'!AH91*'CC Factors'!$C6/12,0)</f>
        <v>4644</v>
      </c>
      <c r="AL45" s="230">
        <f>ROUND('CC Factors'!AI91*'CC Factors'!$C6/12,0)</f>
        <v>4644</v>
      </c>
      <c r="AM45" s="230">
        <f>ROUND('CC Factors'!AJ91*'CC Factors'!$C6/12,0)</f>
        <v>4644</v>
      </c>
      <c r="AN45" s="230">
        <f>ROUND('CC Factors'!AK91*'CC Factors'!$C6/12,0)</f>
        <v>4644</v>
      </c>
      <c r="AO45" s="230">
        <f>ROUND('CC Factors'!AL91*'CC Factors'!$C6/12,0)</f>
        <v>4644</v>
      </c>
      <c r="AP45" s="230">
        <f>ROUND('CC Factors'!AM91*'CC Factors'!$C6/12,0)</f>
        <v>4644</v>
      </c>
      <c r="AQ45" s="230">
        <f>ROUND('CC Factors'!AN91*'CC Factors'!$C6/12,0)</f>
        <v>4644</v>
      </c>
      <c r="AR45" s="230">
        <f>ROUND('CC Factors'!AO91*'CC Factors'!$C6/12,0)</f>
        <v>4644</v>
      </c>
      <c r="AS45" s="230">
        <f>ROUND('CC Factors'!AP91*'CC Factors'!$C6/12,0)</f>
        <v>4644</v>
      </c>
      <c r="AT45" s="230">
        <f>ROUND('CC Factors'!AQ91*'CC Factors'!$C6/12,0)</f>
        <v>4644</v>
      </c>
      <c r="AU45" s="268">
        <f aca="true" t="shared" si="19" ref="AU45:AU52">SUM(AI45:AT45)</f>
        <v>55728</v>
      </c>
      <c r="AV45" s="281" t="s">
        <v>36</v>
      </c>
    </row>
    <row r="46" spans="1:48" ht="16.5">
      <c r="A46" s="202" t="s">
        <v>82</v>
      </c>
      <c r="B46" s="201"/>
      <c r="C46" s="201"/>
      <c r="D46" s="230">
        <f>'CC Factors'!A92*'CC Factors'!$C7*40*4.3</f>
        <v>0</v>
      </c>
      <c r="E46" s="230">
        <f>'CC Factors'!B92*'CC Factors'!$C7*40*4.3</f>
        <v>0</v>
      </c>
      <c r="F46" s="230">
        <f>'CC Factors'!C92*'CC Factors'!$C7*40*4.3</f>
        <v>0</v>
      </c>
      <c r="G46" s="230">
        <f>'CC Factors'!D92*'CC Factors'!$C7*40*4.3</f>
        <v>0</v>
      </c>
      <c r="H46" s="550">
        <f t="shared" si="16"/>
        <v>0</v>
      </c>
      <c r="I46" s="233">
        <f>ROUND('CC Factors'!F92*'CC Factors'!$C7*40*4.3,0)</f>
        <v>0</v>
      </c>
      <c r="J46" s="230">
        <f>ROUND('CC Factors'!G92*'CC Factors'!$C7*40*4.3,0)</f>
        <v>0</v>
      </c>
      <c r="K46" s="230">
        <f>ROUND('CC Factors'!H92*'CC Factors'!$C7*40*4.3,0)</f>
        <v>0</v>
      </c>
      <c r="L46" s="230">
        <f>ROUND('CC Factors'!I92*'CC Factors'!$C7*40*4.3,0)</f>
        <v>0</v>
      </c>
      <c r="M46" s="230">
        <f>ROUND('CC Factors'!J92*'CC Factors'!$C7*40*4.3,0)</f>
        <v>0</v>
      </c>
      <c r="N46" s="230">
        <f>ROUND('CC Factors'!K92*'CC Factors'!$C7*40*4.3,0)</f>
        <v>0</v>
      </c>
      <c r="O46" s="230">
        <f>ROUND('CC Factors'!L92*'CC Factors'!$C7*40*4.3,0)</f>
        <v>0</v>
      </c>
      <c r="P46" s="230">
        <f>ROUND('CC Factors'!M92*'CC Factors'!$C7*40*4.3,0)</f>
        <v>0</v>
      </c>
      <c r="Q46" s="230">
        <f>ROUND('CC Factors'!N92*'CC Factors'!$C7*40*4.3,0)</f>
        <v>0</v>
      </c>
      <c r="R46" s="230">
        <f>ROUND('CC Factors'!O92*'CC Factors'!$C7*40*4.3,0)</f>
        <v>0</v>
      </c>
      <c r="S46" s="230">
        <f>ROUND('CC Factors'!P92*'CC Factors'!$C7*40*4.3,0)</f>
        <v>0</v>
      </c>
      <c r="T46" s="230">
        <f>ROUND('CC Factors'!Q92*'CC Factors'!$C7*40*4.3,0)</f>
        <v>0</v>
      </c>
      <c r="U46" s="536">
        <f t="shared" si="17"/>
        <v>0</v>
      </c>
      <c r="V46" s="230">
        <f>ROUND('CC Factors'!S92*'CC Factors'!$C7*40*4.3,0)</f>
        <v>0</v>
      </c>
      <c r="W46" s="230">
        <f>ROUND('CC Factors'!T92*'CC Factors'!$C7*40*4.3,0)</f>
        <v>0</v>
      </c>
      <c r="X46" s="230">
        <f>ROUND('CC Factors'!U92*'CC Factors'!$C7*40*4.3,0)</f>
        <v>0</v>
      </c>
      <c r="Y46" s="230">
        <f>ROUND('CC Factors'!V92*'CC Factors'!$C7*40*4.3,0)</f>
        <v>0</v>
      </c>
      <c r="Z46" s="230">
        <f>ROUND('CC Factors'!W92*'CC Factors'!$C7*40*4.3,0)</f>
        <v>0</v>
      </c>
      <c r="AA46" s="230">
        <f>ROUND('CC Factors'!X92*'CC Factors'!$C7*40*4.3,0)</f>
        <v>0</v>
      </c>
      <c r="AB46" s="230">
        <f>ROUND('CC Factors'!Y92*'CC Factors'!$C7*40*4.3,0)</f>
        <v>0</v>
      </c>
      <c r="AC46" s="230">
        <f>ROUND('CC Factors'!Z92*'CC Factors'!$C7*40*4.3,0)</f>
        <v>0</v>
      </c>
      <c r="AD46" s="230">
        <f>ROUND('CC Factors'!AA92*'CC Factors'!$C7*40*4.3,0)</f>
        <v>0</v>
      </c>
      <c r="AE46" s="230">
        <f>ROUND('CC Factors'!AB92*'CC Factors'!$C7*40*4.3,0)</f>
        <v>0</v>
      </c>
      <c r="AF46" s="230">
        <f>ROUND('CC Factors'!AC92*'CC Factors'!$C7*40*4.3,0)</f>
        <v>0</v>
      </c>
      <c r="AG46" s="230">
        <f>ROUND('CC Factors'!AD92*'CC Factors'!$C7*40*4.3,0)</f>
        <v>0</v>
      </c>
      <c r="AH46" s="536">
        <f t="shared" si="18"/>
        <v>0</v>
      </c>
      <c r="AI46" s="230">
        <f>ROUND('CC Factors'!AF92*'CC Factors'!$C7*40*4.3,0)</f>
        <v>0</v>
      </c>
      <c r="AJ46" s="230">
        <f>ROUND('CC Factors'!AG92*'CC Factors'!$C7*40*4.3,0)</f>
        <v>0</v>
      </c>
      <c r="AK46" s="230">
        <f>ROUND('CC Factors'!AH92*'CC Factors'!$C7*40*4.3,0)</f>
        <v>0</v>
      </c>
      <c r="AL46" s="230">
        <f>ROUND('CC Factors'!AI92*'CC Factors'!$C7*40*4.3,0)</f>
        <v>0</v>
      </c>
      <c r="AM46" s="230">
        <f>ROUND('CC Factors'!AJ92*'CC Factors'!$C7*40*4.3,0)</f>
        <v>0</v>
      </c>
      <c r="AN46" s="230">
        <f>ROUND('CC Factors'!AK92*'CC Factors'!$C7*40*4.3,0)</f>
        <v>0</v>
      </c>
      <c r="AO46" s="230">
        <f>ROUND('CC Factors'!AL92*'CC Factors'!$C7*40*4.3,0)</f>
        <v>0</v>
      </c>
      <c r="AP46" s="230">
        <f>ROUND('CC Factors'!AM92*'CC Factors'!$C7*40*4.3,0)</f>
        <v>0</v>
      </c>
      <c r="AQ46" s="230">
        <f>ROUND('CC Factors'!AN92*'CC Factors'!$C7*40*4.3,0)</f>
        <v>0</v>
      </c>
      <c r="AR46" s="230">
        <f>ROUND('CC Factors'!AO92*'CC Factors'!$C7*40*4.3,0)</f>
        <v>0</v>
      </c>
      <c r="AS46" s="230">
        <f>ROUND('CC Factors'!AP92*'CC Factors'!$C7*40*4.3,0)</f>
        <v>0</v>
      </c>
      <c r="AT46" s="230">
        <f>ROUND('CC Factors'!AQ92*'CC Factors'!$C7*40*4.3,0)</f>
        <v>0</v>
      </c>
      <c r="AU46" s="268">
        <f t="shared" si="19"/>
        <v>0</v>
      </c>
      <c r="AV46" s="282" t="s">
        <v>182</v>
      </c>
    </row>
    <row r="47" spans="1:48" ht="16.5">
      <c r="A47" s="241" t="s">
        <v>240</v>
      </c>
      <c r="B47" s="201"/>
      <c r="C47" s="201"/>
      <c r="D47" s="201"/>
      <c r="E47" s="230">
        <f>'CC Factors'!C85*'CC Factors'!$C8*50*4.3</f>
        <v>0</v>
      </c>
      <c r="F47" s="230">
        <f>'CC Factors'!D85*'CC Factors'!$C$8*50*4.3</f>
        <v>6880</v>
      </c>
      <c r="G47" s="230">
        <f>'CC Factors'!E85*'CC Factors'!$C$8*50*4.3</f>
        <v>25800</v>
      </c>
      <c r="H47" s="550">
        <f t="shared" si="16"/>
        <v>32680</v>
      </c>
      <c r="I47" s="233">
        <f>ROUND('CC Factors'!F85*'CC Factors'!$C$8*50*4.3,0)</f>
        <v>29240</v>
      </c>
      <c r="J47" s="230">
        <f>ROUND('CC Factors'!G85*'CC Factors'!$C$8*50*4.3,0)</f>
        <v>29240</v>
      </c>
      <c r="K47" s="230">
        <f>ROUND('CC Factors'!H85*'CC Factors'!$C$8*50*4.3,0)</f>
        <v>29240</v>
      </c>
      <c r="L47" s="230">
        <f>ROUND('CC Factors'!I85*'CC Factors'!$C$8*50*4.3,0)</f>
        <v>29240</v>
      </c>
      <c r="M47" s="230">
        <f>ROUND('CC Factors'!J85*'CC Factors'!$C$8*50*4.3,0)</f>
        <v>29240</v>
      </c>
      <c r="N47" s="230">
        <f>ROUND('CC Factors'!K85*'CC Factors'!$C$8*50*4.3,0)</f>
        <v>29240</v>
      </c>
      <c r="O47" s="230">
        <f>ROUND('CC Factors'!L85*'CC Factors'!$C$8*50*4.3,0)</f>
        <v>32680</v>
      </c>
      <c r="P47" s="230">
        <f>ROUND('CC Factors'!M85*'CC Factors'!$C$8*50*4.3,0)</f>
        <v>32680</v>
      </c>
      <c r="Q47" s="230">
        <f>ROUND('CC Factors'!N85*'CC Factors'!$C$8*50*4.3,0)</f>
        <v>22360</v>
      </c>
      <c r="R47" s="230">
        <f>ROUND('CC Factors'!O85*'CC Factors'!$C$8*50*4.3,0)</f>
        <v>22360</v>
      </c>
      <c r="S47" s="230">
        <f>ROUND('CC Factors'!P85*'CC Factors'!$C$8*50*4.3,0)</f>
        <v>22360</v>
      </c>
      <c r="T47" s="230">
        <f>ROUND('CC Factors'!Q85*'CC Factors'!$C$8*50*4.3,0)</f>
        <v>34400</v>
      </c>
      <c r="U47" s="536">
        <f t="shared" si="17"/>
        <v>342280</v>
      </c>
      <c r="V47" s="230">
        <f>ROUND('CC Factors'!S85*'CC Factors'!$C$8*50*4.3,0)</f>
        <v>36120</v>
      </c>
      <c r="W47" s="230">
        <f>ROUND('CC Factors'!T85*'CC Factors'!$C$8*50*4.3,0)</f>
        <v>36120</v>
      </c>
      <c r="X47" s="230">
        <f>ROUND('CC Factors'!U85*'CC Factors'!$C$8*50*4.3,0)</f>
        <v>36120</v>
      </c>
      <c r="Y47" s="230">
        <f>ROUND('CC Factors'!V85*'CC Factors'!$C$8*50*4.3,0)</f>
        <v>36120</v>
      </c>
      <c r="Z47" s="230">
        <f>ROUND('CC Factors'!W85*'CC Factors'!$C$8*50*4.3,0)</f>
        <v>36120</v>
      </c>
      <c r="AA47" s="230">
        <f>ROUND('CC Factors'!X85*'CC Factors'!$C$8*50*4.3,0)</f>
        <v>36120</v>
      </c>
      <c r="AB47" s="230">
        <f>ROUND('CC Factors'!Y85*'CC Factors'!$C$8*50*4.3,0)</f>
        <v>36120</v>
      </c>
      <c r="AC47" s="230">
        <f>ROUND('CC Factors'!Z85*'CC Factors'!$C$8*50*4.3,0)</f>
        <v>36120</v>
      </c>
      <c r="AD47" s="230">
        <f>ROUND('CC Factors'!AA85*'CC Factors'!$C$8*50*4.3,0)</f>
        <v>25800</v>
      </c>
      <c r="AE47" s="230">
        <f>ROUND('CC Factors'!AB85*'CC Factors'!$C$8*50*4.3,0)</f>
        <v>25800</v>
      </c>
      <c r="AF47" s="230">
        <f>ROUND('CC Factors'!AC85*'CC Factors'!$C$8*50*4.3,0)</f>
        <v>25800</v>
      </c>
      <c r="AG47" s="230">
        <f>ROUND('CC Factors'!AD85*'CC Factors'!$C$8*50*4.3,0)</f>
        <v>36120</v>
      </c>
      <c r="AH47" s="536">
        <f t="shared" si="18"/>
        <v>402480</v>
      </c>
      <c r="AI47" s="230">
        <f>ROUND('CC Factors'!AF85*'CC Factors'!$C$8*50*4.3,0)</f>
        <v>41280</v>
      </c>
      <c r="AJ47" s="230">
        <f>ROUND('CC Factors'!AG85*'CC Factors'!$C$8*50*4.3,0)</f>
        <v>41280</v>
      </c>
      <c r="AK47" s="230">
        <f>ROUND('CC Factors'!AH85*'CC Factors'!$C$8*50*4.3,0)</f>
        <v>41280</v>
      </c>
      <c r="AL47" s="230">
        <f>ROUND('CC Factors'!AI85*'CC Factors'!$C$8*50*4.3,0)</f>
        <v>41280</v>
      </c>
      <c r="AM47" s="230">
        <f>ROUND('CC Factors'!AJ85*'CC Factors'!$C$8*50*4.3,0)</f>
        <v>41280</v>
      </c>
      <c r="AN47" s="230">
        <f>ROUND('CC Factors'!AK85*'CC Factors'!$C$8*50*4.3,0)</f>
        <v>41280</v>
      </c>
      <c r="AO47" s="230">
        <f>ROUND('CC Factors'!AL85*'CC Factors'!$C$8*50*4.3,0)</f>
        <v>41280</v>
      </c>
      <c r="AP47" s="230">
        <f>ROUND('CC Factors'!AM85*'CC Factors'!$C$8*50*4.3,0)</f>
        <v>41280</v>
      </c>
      <c r="AQ47" s="230">
        <f>ROUND('CC Factors'!AN85*'CC Factors'!$C$8*50*4.3,0)</f>
        <v>30960</v>
      </c>
      <c r="AR47" s="230">
        <f>ROUND('CC Factors'!AO85*'CC Factors'!$C$8*50*4.3,0)</f>
        <v>30960</v>
      </c>
      <c r="AS47" s="230">
        <f>ROUND('CC Factors'!AP85*'CC Factors'!$C$8*50*4.3,0)</f>
        <v>30960</v>
      </c>
      <c r="AT47" s="230">
        <f>ROUND('CC Factors'!AQ85*'CC Factors'!$C$8*50*4.3,0)</f>
        <v>41280</v>
      </c>
      <c r="AU47" s="268">
        <f t="shared" si="19"/>
        <v>464400</v>
      </c>
      <c r="AV47" s="282" t="s">
        <v>183</v>
      </c>
    </row>
    <row r="48" spans="1:48" ht="16.5">
      <c r="A48" s="241" t="s">
        <v>286</v>
      </c>
      <c r="B48" s="201"/>
      <c r="C48" s="201"/>
      <c r="D48" s="201"/>
      <c r="E48" s="230">
        <f>'CC Factors'!C86*'CC Factors'!$C9*40*4.3</f>
        <v>0</v>
      </c>
      <c r="F48" s="230">
        <f>'CC Factors'!D86*'CC Factors'!$C9*40*4.3</f>
        <v>0</v>
      </c>
      <c r="G48" s="230">
        <f>'CC Factors'!E86*'CC Factors'!$C9*40*4.3</f>
        <v>0</v>
      </c>
      <c r="H48" s="550">
        <f t="shared" si="16"/>
        <v>0</v>
      </c>
      <c r="I48" s="233">
        <f>ROUND('CC Factors'!F86*'CC Factors'!$C9*40*4.3,0)</f>
        <v>6192</v>
      </c>
      <c r="J48" s="230">
        <f>ROUND('CC Factors'!G86*'CC Factors'!$C9*40*4.3,0)</f>
        <v>6192</v>
      </c>
      <c r="K48" s="230">
        <f>ROUND('CC Factors'!H86*'CC Factors'!$C9*40*4.3,0)</f>
        <v>6192</v>
      </c>
      <c r="L48" s="230">
        <f>ROUND('CC Factors'!I86*'CC Factors'!$C9*40*4.3,0)</f>
        <v>6192</v>
      </c>
      <c r="M48" s="230">
        <f>ROUND('CC Factors'!J86*'CC Factors'!$C9*40*4.3,0)</f>
        <v>6192</v>
      </c>
      <c r="N48" s="230">
        <f>ROUND('CC Factors'!K86*'CC Factors'!$C9*40*4.3,0)</f>
        <v>6192</v>
      </c>
      <c r="O48" s="230">
        <f>ROUND('CC Factors'!L86*'CC Factors'!$C9*40*4.3,0)</f>
        <v>4128</v>
      </c>
      <c r="P48" s="230">
        <f>ROUND('CC Factors'!M86*'CC Factors'!$C9*40*4.3,0)</f>
        <v>4128</v>
      </c>
      <c r="Q48" s="230">
        <f>ROUND('CC Factors'!N86*'CC Factors'!$C9*40*4.3,0)</f>
        <v>4128</v>
      </c>
      <c r="R48" s="230">
        <f>ROUND('CC Factors'!O86*'CC Factors'!$C9*40*4.3,0)</f>
        <v>4128</v>
      </c>
      <c r="S48" s="230">
        <f>ROUND('CC Factors'!P86*'CC Factors'!$C9*40*4.3,0)</f>
        <v>4128</v>
      </c>
      <c r="T48" s="230">
        <f>ROUND('CC Factors'!Q86*'CC Factors'!$C9*40*4.3,0)</f>
        <v>4128</v>
      </c>
      <c r="U48" s="536">
        <f t="shared" si="17"/>
        <v>61920</v>
      </c>
      <c r="V48" s="230">
        <f>ROUND('CC Factors'!S86*'CC Factors'!$C9*40*4.3,0)</f>
        <v>4128</v>
      </c>
      <c r="W48" s="230">
        <f>ROUND('CC Factors'!T86*'CC Factors'!$C9*40*4.3,0)</f>
        <v>4128</v>
      </c>
      <c r="X48" s="230">
        <f>ROUND('CC Factors'!U86*'CC Factors'!$C9*40*4.3,0)</f>
        <v>4128</v>
      </c>
      <c r="Y48" s="230">
        <f>ROUND('CC Factors'!V86*'CC Factors'!$C9*40*4.3,0)</f>
        <v>6192</v>
      </c>
      <c r="Z48" s="230">
        <f>ROUND('CC Factors'!W86*'CC Factors'!$C9*40*4.3,0)</f>
        <v>6192</v>
      </c>
      <c r="AA48" s="230">
        <f>ROUND('CC Factors'!X86*'CC Factors'!$C9*40*4.3,0)</f>
        <v>6192</v>
      </c>
      <c r="AB48" s="230">
        <f>ROUND('CC Factors'!Y86*'CC Factors'!$C9*40*4.3,0)</f>
        <v>6192</v>
      </c>
      <c r="AC48" s="230">
        <f>ROUND('CC Factors'!Z86*'CC Factors'!$C9*40*4.3,0)</f>
        <v>6192</v>
      </c>
      <c r="AD48" s="230">
        <f>ROUND('CC Factors'!AA86*'CC Factors'!$C9*40*4.3,0)</f>
        <v>6192</v>
      </c>
      <c r="AE48" s="230">
        <f>ROUND('CC Factors'!AB86*'CC Factors'!$C9*40*4.3,0)</f>
        <v>6192</v>
      </c>
      <c r="AF48" s="230">
        <f>ROUND('CC Factors'!AC86*'CC Factors'!$C9*40*4.3,0)</f>
        <v>6192</v>
      </c>
      <c r="AG48" s="230">
        <f>ROUND('CC Factors'!AD86*'CC Factors'!$C9*40*4.3,0)</f>
        <v>6192</v>
      </c>
      <c r="AH48" s="536">
        <f t="shared" si="18"/>
        <v>68112</v>
      </c>
      <c r="AI48" s="230">
        <f>ROUND('CC Factors'!AF86*'CC Factors'!$C9*40*4.3,0)</f>
        <v>4128</v>
      </c>
      <c r="AJ48" s="230">
        <f>ROUND('CC Factors'!AG86*'CC Factors'!$C9*40*4.3,0)</f>
        <v>4128</v>
      </c>
      <c r="AK48" s="230">
        <f>ROUND('CC Factors'!AH86*'CC Factors'!$C9*40*4.3,0)</f>
        <v>4128</v>
      </c>
      <c r="AL48" s="230">
        <f>ROUND('CC Factors'!AI86*'CC Factors'!$C9*40*4.3,0)</f>
        <v>4128</v>
      </c>
      <c r="AM48" s="230">
        <f>ROUND('CC Factors'!AJ86*'CC Factors'!$C9*40*4.3,0)</f>
        <v>4128</v>
      </c>
      <c r="AN48" s="230">
        <f>ROUND('CC Factors'!AK86*'CC Factors'!$C9*40*4.3,0)</f>
        <v>4128</v>
      </c>
      <c r="AO48" s="230">
        <f>ROUND('CC Factors'!AL86*'CC Factors'!$C9*40*4.3,0)</f>
        <v>4128</v>
      </c>
      <c r="AP48" s="230">
        <f>ROUND('CC Factors'!AM86*'CC Factors'!$C9*40*4.3,0)</f>
        <v>4128</v>
      </c>
      <c r="AQ48" s="230">
        <f>ROUND('CC Factors'!AN86*'CC Factors'!$C9*40*4.3,0)</f>
        <v>4128</v>
      </c>
      <c r="AR48" s="230">
        <f>ROUND('CC Factors'!AO86*'CC Factors'!$C9*40*4.3,0)</f>
        <v>4128</v>
      </c>
      <c r="AS48" s="230">
        <f>ROUND('CC Factors'!AP86*'CC Factors'!$C9*40*4.3,0)</f>
        <v>4128</v>
      </c>
      <c r="AT48" s="230">
        <f>ROUND('CC Factors'!AQ86*'CC Factors'!$C9*40*4.3,0)</f>
        <v>4128</v>
      </c>
      <c r="AU48" s="268">
        <f t="shared" si="19"/>
        <v>49536</v>
      </c>
      <c r="AV48" s="282" t="s">
        <v>104</v>
      </c>
    </row>
    <row r="49" spans="1:48" ht="16.5">
      <c r="A49" s="305" t="s">
        <v>359</v>
      </c>
      <c r="B49" s="201"/>
      <c r="C49" s="201"/>
      <c r="D49" s="201"/>
      <c r="E49" s="230">
        <f>ROUND('CC Factors'!C93*'CC Factors'!$C10*40*4.3,0)</f>
        <v>0</v>
      </c>
      <c r="F49" s="230">
        <f>ROUND('CC Factors'!D93*'CC Factors'!$C10*40*4.3,0)</f>
        <v>0</v>
      </c>
      <c r="G49" s="230">
        <f>ROUND('CC Factors'!E93*'CC Factors'!$C10*40*4.3,0)</f>
        <v>2236</v>
      </c>
      <c r="H49" s="550">
        <f>ROUND(SUM(B49:G49),0)</f>
        <v>2236</v>
      </c>
      <c r="I49" s="233">
        <f>ROUND('CC Factors'!F93*'CC Factors'!$C10*40*4.3,0)</f>
        <v>2236</v>
      </c>
      <c r="J49" s="230">
        <f>ROUND('CC Factors'!G93*'CC Factors'!$C10*40*4.3,0)</f>
        <v>2236</v>
      </c>
      <c r="K49" s="230">
        <f>ROUND('CC Factors'!H93*'CC Factors'!$C10*40*4.3,0)</f>
        <v>2236</v>
      </c>
      <c r="L49" s="230">
        <f>ROUND('CC Factors'!I93*'CC Factors'!$C10*40*4.3,0)</f>
        <v>2236</v>
      </c>
      <c r="M49" s="230">
        <f>ROUND('CC Factors'!J93*'CC Factors'!$C10*40*4.3,0)</f>
        <v>2236</v>
      </c>
      <c r="N49" s="230">
        <f>ROUND('CC Factors'!K93*'CC Factors'!$C10*40*4.3,0)</f>
        <v>2236</v>
      </c>
      <c r="O49" s="230">
        <f>ROUND('CC Factors'!L93*'CC Factors'!$C10*40*4.3,0)</f>
        <v>2236</v>
      </c>
      <c r="P49" s="230">
        <f>ROUND('CC Factors'!M93*'CC Factors'!$C10*40*4.3,0)</f>
        <v>2236</v>
      </c>
      <c r="Q49" s="230">
        <f>ROUND('CC Factors'!N93*'CC Factors'!$C10*40*4.3,0)</f>
        <v>2236</v>
      </c>
      <c r="R49" s="230">
        <f>ROUND('CC Factors'!O93*'CC Factors'!$C10*40*4.3,0)</f>
        <v>2236</v>
      </c>
      <c r="S49" s="230">
        <f>ROUND('CC Factors'!P93*'CC Factors'!$C10*40*4.3,0)</f>
        <v>2236</v>
      </c>
      <c r="T49" s="230">
        <f>ROUND('CC Factors'!Q93*'CC Factors'!$C10*40*4.3,0)</f>
        <v>2236</v>
      </c>
      <c r="U49" s="536">
        <f>ROUND(SUM(I49:T49),0)</f>
        <v>26832</v>
      </c>
      <c r="V49" s="230">
        <f>ROUND('CC Factors'!S93*'CC Factors'!$C10*40*4.3,0)</f>
        <v>4472</v>
      </c>
      <c r="W49" s="230">
        <f>ROUND('CC Factors'!T93*'CC Factors'!$C10*40*4.3,0)</f>
        <v>4472</v>
      </c>
      <c r="X49" s="230">
        <f>ROUND('CC Factors'!U93*'CC Factors'!$C10*40*4.3,0)</f>
        <v>4472</v>
      </c>
      <c r="Y49" s="230">
        <f>ROUND('CC Factors'!V93*'CC Factors'!$C10*40*4.3,0)</f>
        <v>4472</v>
      </c>
      <c r="Z49" s="230">
        <f>ROUND('CC Factors'!W93*'CC Factors'!$C10*40*4.3,0)</f>
        <v>4472</v>
      </c>
      <c r="AA49" s="230">
        <f>ROUND('CC Factors'!X93*'CC Factors'!$C10*40*4.3,0)</f>
        <v>4472</v>
      </c>
      <c r="AB49" s="230">
        <f>ROUND('CC Factors'!Y93*'CC Factors'!$C10*40*4.3,0)</f>
        <v>4472</v>
      </c>
      <c r="AC49" s="230">
        <f>ROUND('CC Factors'!Z93*'CC Factors'!$C10*40*4.3,0)</f>
        <v>4472</v>
      </c>
      <c r="AD49" s="230">
        <f>ROUND('CC Factors'!AA93*'CC Factors'!$C10*40*4.3,0)</f>
        <v>4472</v>
      </c>
      <c r="AE49" s="230">
        <f>ROUND('CC Factors'!AB93*'CC Factors'!$C10*40*4.3,0)</f>
        <v>4472</v>
      </c>
      <c r="AF49" s="230">
        <f>ROUND('CC Factors'!AC93*'CC Factors'!$C10*40*4.3,0)</f>
        <v>4472</v>
      </c>
      <c r="AG49" s="230">
        <f>ROUND('CC Factors'!AD93*'CC Factors'!$C10*40*4.3,0)</f>
        <v>4472</v>
      </c>
      <c r="AH49" s="536">
        <f>ROUND(SUM(V49:AG49),0)</f>
        <v>53664</v>
      </c>
      <c r="AI49" s="230">
        <f>ROUND('CC Factors'!AF93*'CC Factors'!$C10*40*4.3,0)</f>
        <v>6708</v>
      </c>
      <c r="AJ49" s="230">
        <f>ROUND('CC Factors'!AG93*'CC Factors'!$C10*40*4.3,0)</f>
        <v>6708</v>
      </c>
      <c r="AK49" s="230">
        <f>ROUND('CC Factors'!AH93*'CC Factors'!$C10*40*4.3,0)</f>
        <v>6708</v>
      </c>
      <c r="AL49" s="230">
        <f>ROUND('CC Factors'!AI93*'CC Factors'!$C10*40*4.3,0)</f>
        <v>6708</v>
      </c>
      <c r="AM49" s="230">
        <f>ROUND('CC Factors'!AJ93*'CC Factors'!$C10*40*4.3,0)</f>
        <v>6708</v>
      </c>
      <c r="AN49" s="230">
        <f>ROUND('CC Factors'!AK93*'CC Factors'!$C10*40*4.3,0)</f>
        <v>6708</v>
      </c>
      <c r="AO49" s="230">
        <f>ROUND('CC Factors'!AL93*'CC Factors'!$C10*40*4.3,0)</f>
        <v>6708</v>
      </c>
      <c r="AP49" s="230">
        <f>ROUND('CC Factors'!AM93*'CC Factors'!$C10*40*4.3,0)</f>
        <v>6708</v>
      </c>
      <c r="AQ49" s="230">
        <f>ROUND('CC Factors'!AN93*'CC Factors'!$C10*40*4.3,0)</f>
        <v>6708</v>
      </c>
      <c r="AR49" s="230">
        <f>ROUND('CC Factors'!AO93*'CC Factors'!$C10*40*4.3,0)</f>
        <v>6708</v>
      </c>
      <c r="AS49" s="230">
        <f>ROUND('CC Factors'!AP93*'CC Factors'!$C10*40*4.3,0)</f>
        <v>6708</v>
      </c>
      <c r="AT49" s="230">
        <f>ROUND('CC Factors'!AQ93*'CC Factors'!$C10*40*4.3,0)</f>
        <v>6708</v>
      </c>
      <c r="AU49" s="268">
        <f>SUM(AI49:AT49)</f>
        <v>80496</v>
      </c>
      <c r="AV49" s="282" t="s">
        <v>106</v>
      </c>
    </row>
    <row r="50" spans="1:48" ht="16.5">
      <c r="A50" s="305" t="s">
        <v>108</v>
      </c>
      <c r="B50" s="201"/>
      <c r="C50" s="201"/>
      <c r="D50" s="201"/>
      <c r="E50" s="230">
        <f>ROUND('CC Factors'!C94*'CC Factors'!$C8*40*4.3,0)</f>
        <v>0</v>
      </c>
      <c r="F50" s="230">
        <f>ROUND('CC Factors'!D94*'CC Factors'!$C8*40*4.3,0)</f>
        <v>0</v>
      </c>
      <c r="G50" s="230">
        <f>ROUND('CC Factors'!E94*'CC Factors'!$C8*40*4.3,0)</f>
        <v>0</v>
      </c>
      <c r="H50" s="550">
        <f>ROUND(SUM(B50:G50),0)</f>
        <v>0</v>
      </c>
      <c r="I50" s="233">
        <f>ROUND('CC Factors'!F94*'CC Factors'!$C8*40*4.3,0)</f>
        <v>0</v>
      </c>
      <c r="J50" s="230">
        <f>ROUND('CC Factors'!G94*'CC Factors'!$C8*40*4.3,0)</f>
        <v>0</v>
      </c>
      <c r="K50" s="230">
        <f>ROUND('CC Factors'!H94*'CC Factors'!$C8*40*4.3,0)</f>
        <v>0</v>
      </c>
      <c r="L50" s="230">
        <f>ROUND('CC Factors'!I94*'CC Factors'!$C8*40*4.3,0)</f>
        <v>0</v>
      </c>
      <c r="M50" s="230">
        <f>ROUND('CC Factors'!J94*'CC Factors'!$C8*40*4.3,0)</f>
        <v>0</v>
      </c>
      <c r="N50" s="230">
        <f>ROUND('CC Factors'!K94*'CC Factors'!$C8*40*4.3,0)</f>
        <v>0</v>
      </c>
      <c r="O50" s="230">
        <f>ROUND('CC Factors'!L94*'CC Factors'!$C8*40*4.3,0)</f>
        <v>0</v>
      </c>
      <c r="P50" s="230">
        <f>ROUND('CC Factors'!M94*'CC Factors'!$C8*40*4.3,0)</f>
        <v>0</v>
      </c>
      <c r="Q50" s="230">
        <f>ROUND('CC Factors'!N94*'CC Factors'!$C8*40*4.3,0)</f>
        <v>0</v>
      </c>
      <c r="R50" s="230">
        <f>ROUND('CC Factors'!O94*'CC Factors'!$C8*40*4.3,0)</f>
        <v>0</v>
      </c>
      <c r="S50" s="230">
        <f>ROUND('CC Factors'!P94*'CC Factors'!$C8*40*4.3,0)</f>
        <v>0</v>
      </c>
      <c r="T50" s="230">
        <f>ROUND('CC Factors'!Q94*'CC Factors'!$C8*40*4.3,0)</f>
        <v>0</v>
      </c>
      <c r="U50" s="536">
        <f>ROUND(SUM(I50:T50),0)</f>
        <v>0</v>
      </c>
      <c r="V50" s="230">
        <f>ROUND('CC Factors'!S94*'CC Factors'!$C8*40*4.3,0)</f>
        <v>0</v>
      </c>
      <c r="W50" s="230">
        <f>ROUND('CC Factors'!T94*'CC Factors'!$C8*40*4.3,0)</f>
        <v>0</v>
      </c>
      <c r="X50" s="230">
        <f>ROUND('CC Factors'!U94*'CC Factors'!$C8*40*4.3,0)</f>
        <v>0</v>
      </c>
      <c r="Y50" s="230">
        <f>ROUND('CC Factors'!V94*'CC Factors'!$C8*40*4.3,0)</f>
        <v>0</v>
      </c>
      <c r="Z50" s="230">
        <f>ROUND('CC Factors'!W94*'CC Factors'!$C8*40*4.3,0)</f>
        <v>0</v>
      </c>
      <c r="AA50" s="230">
        <f>ROUND('CC Factors'!X94*'CC Factors'!$C8*40*4.3,0)</f>
        <v>0</v>
      </c>
      <c r="AB50" s="230">
        <f>ROUND('CC Factors'!Y94*'CC Factors'!$C8*40*4.3,0)</f>
        <v>0</v>
      </c>
      <c r="AC50" s="230">
        <f>ROUND('CC Factors'!Z94*'CC Factors'!$C8*40*4.3,0)</f>
        <v>0</v>
      </c>
      <c r="AD50" s="230">
        <f>ROUND('CC Factors'!AA94*'CC Factors'!$C8*40*4.3,0)</f>
        <v>0</v>
      </c>
      <c r="AE50" s="230">
        <f>ROUND('CC Factors'!AB94*'CC Factors'!$C8*40*4.3,0)</f>
        <v>0</v>
      </c>
      <c r="AF50" s="230">
        <f>ROUND('CC Factors'!AC94*'CC Factors'!$C8*40*4.3,0)</f>
        <v>0</v>
      </c>
      <c r="AG50" s="230">
        <f>ROUND('CC Factors'!AD94*'CC Factors'!$C8*40*4.3,0)</f>
        <v>0</v>
      </c>
      <c r="AH50" s="536">
        <f>ROUND(SUM(V50:AG50),0)</f>
        <v>0</v>
      </c>
      <c r="AI50" s="230">
        <f>ROUND('CC Factors'!AF94*'CC Factors'!$C8*40*4.3,0)</f>
        <v>0</v>
      </c>
      <c r="AJ50" s="230">
        <f>ROUND('CC Factors'!AG94*'CC Factors'!$C8*40*4.3,0)</f>
        <v>0</v>
      </c>
      <c r="AK50" s="230">
        <f>ROUND('CC Factors'!AH94*'CC Factors'!$C8*40*4.3,0)</f>
        <v>0</v>
      </c>
      <c r="AL50" s="230">
        <f>ROUND('CC Factors'!AI94*'CC Factors'!$C8*40*4.3,0)</f>
        <v>0</v>
      </c>
      <c r="AM50" s="230">
        <f>ROUND('CC Factors'!AJ94*'CC Factors'!$C8*40*4.3,0)</f>
        <v>0</v>
      </c>
      <c r="AN50" s="230">
        <f>ROUND('CC Factors'!AK94*'CC Factors'!$C8*40*4.3,0)</f>
        <v>0</v>
      </c>
      <c r="AO50" s="230">
        <f>ROUND('CC Factors'!AL94*'CC Factors'!$C8*40*4.3,0)</f>
        <v>0</v>
      </c>
      <c r="AP50" s="230">
        <f>ROUND('CC Factors'!AM94*'CC Factors'!$C8*40*4.3,0)</f>
        <v>0</v>
      </c>
      <c r="AQ50" s="230">
        <f>ROUND('CC Factors'!AN94*'CC Factors'!$C8*40*4.3,0)</f>
        <v>0</v>
      </c>
      <c r="AR50" s="230">
        <f>ROUND('CC Factors'!AO94*'CC Factors'!$C8*40*4.3,0)</f>
        <v>0</v>
      </c>
      <c r="AS50" s="230">
        <f>ROUND('CC Factors'!AP94*'CC Factors'!$C8*40*4.3,0)</f>
        <v>0</v>
      </c>
      <c r="AT50" s="230">
        <f>ROUND('CC Factors'!AQ94*'CC Factors'!$C8*40*4.3,0)</f>
        <v>0</v>
      </c>
      <c r="AU50" s="268">
        <f>SUM(AI50:AT50)</f>
        <v>0</v>
      </c>
      <c r="AV50" s="282" t="s">
        <v>107</v>
      </c>
    </row>
    <row r="51" spans="1:48" ht="16.5">
      <c r="A51" s="241" t="s">
        <v>39</v>
      </c>
      <c r="B51" s="201"/>
      <c r="C51" s="201"/>
      <c r="D51" s="201"/>
      <c r="E51" s="230">
        <f>ROUND('CC Factors'!C95*'CC Factors'!$C11*40*4.3,0)</f>
        <v>0</v>
      </c>
      <c r="F51" s="230">
        <f>ROUND('CC Factors'!D95*'CC Factors'!$C11*40*4.3,0)</f>
        <v>0</v>
      </c>
      <c r="G51" s="230">
        <f>ROUND('CC Factors'!E95*'CC Factors'!$C11*40*4.3,0)</f>
        <v>860</v>
      </c>
      <c r="H51" s="550">
        <f>ROUND(SUM(B51:G51),0)</f>
        <v>860</v>
      </c>
      <c r="I51" s="233">
        <f>ROUND('CC Factors'!F95*'CC Factors'!$C11*40*4.3,0)</f>
        <v>860</v>
      </c>
      <c r="J51" s="230">
        <f>ROUND('CC Factors'!G95*'CC Factors'!$C11*40*4.3,0)</f>
        <v>860</v>
      </c>
      <c r="K51" s="230">
        <f>ROUND('CC Factors'!H95*'CC Factors'!$C11*40*4.3,0)</f>
        <v>860</v>
      </c>
      <c r="L51" s="230">
        <f>ROUND('CC Factors'!I95*'CC Factors'!$C11*40*4.3,0)</f>
        <v>860</v>
      </c>
      <c r="M51" s="230">
        <f>ROUND('CC Factors'!J95*'CC Factors'!$C11*40*4.3,0)</f>
        <v>860</v>
      </c>
      <c r="N51" s="230">
        <f>ROUND('CC Factors'!K95*'CC Factors'!$C11*40*4.3,0)</f>
        <v>860</v>
      </c>
      <c r="O51" s="230">
        <f>ROUND('CC Factors'!L95*'CC Factors'!$C11*40*4.3,0)</f>
        <v>860</v>
      </c>
      <c r="P51" s="230">
        <f>ROUND('CC Factors'!M95*'CC Factors'!$C11*40*4.3,0)</f>
        <v>860</v>
      </c>
      <c r="Q51" s="230">
        <f>ROUND('CC Factors'!N95*'CC Factors'!$C11*40*4.3,0)</f>
        <v>860</v>
      </c>
      <c r="R51" s="230">
        <f>ROUND('CC Factors'!O95*'CC Factors'!$C11*40*4.3,0)</f>
        <v>860</v>
      </c>
      <c r="S51" s="230">
        <f>ROUND('CC Factors'!P95*'CC Factors'!$C11*40*4.3,0)</f>
        <v>860</v>
      </c>
      <c r="T51" s="230">
        <f>ROUND('CC Factors'!Q95*'CC Factors'!$C11*40*4.3,0)</f>
        <v>860</v>
      </c>
      <c r="U51" s="536">
        <f>ROUND(SUM(I51:T51),0)</f>
        <v>10320</v>
      </c>
      <c r="V51" s="230">
        <f>ROUND('CC Factors'!S95*'CC Factors'!$C11*40*4.3,0)</f>
        <v>860</v>
      </c>
      <c r="W51" s="230">
        <f>ROUND('CC Factors'!T95*'CC Factors'!$C11*40*4.3,0)</f>
        <v>860</v>
      </c>
      <c r="X51" s="230">
        <f>ROUND('CC Factors'!U95*'CC Factors'!$C11*40*4.3,0)</f>
        <v>860</v>
      </c>
      <c r="Y51" s="230">
        <f>ROUND('CC Factors'!V95*'CC Factors'!$C11*40*4.3,0)</f>
        <v>860</v>
      </c>
      <c r="Z51" s="230">
        <f>ROUND('CC Factors'!W95*'CC Factors'!$C11*40*4.3,0)</f>
        <v>860</v>
      </c>
      <c r="AA51" s="230">
        <f>ROUND('CC Factors'!X95*'CC Factors'!$C11*40*4.3,0)</f>
        <v>860</v>
      </c>
      <c r="AB51" s="230">
        <f>ROUND('CC Factors'!Y95*'CC Factors'!$C11*40*4.3,0)</f>
        <v>860</v>
      </c>
      <c r="AC51" s="230">
        <f>ROUND('CC Factors'!Z95*'CC Factors'!$C11*40*4.3,0)</f>
        <v>860</v>
      </c>
      <c r="AD51" s="230">
        <f>ROUND('CC Factors'!AA95*'CC Factors'!$C11*40*4.3,0)</f>
        <v>860</v>
      </c>
      <c r="AE51" s="230">
        <f>ROUND('CC Factors'!AB95*'CC Factors'!$C11*40*4.3,0)</f>
        <v>860</v>
      </c>
      <c r="AF51" s="230">
        <f>ROUND('CC Factors'!AC95*'CC Factors'!$C11*40*4.3,0)</f>
        <v>860</v>
      </c>
      <c r="AG51" s="230">
        <f>ROUND('CC Factors'!AD95*'CC Factors'!$C11*40*4.3,0)</f>
        <v>860</v>
      </c>
      <c r="AH51" s="536">
        <f>ROUND(SUM(V51:AG51),0)</f>
        <v>10320</v>
      </c>
      <c r="AI51" s="230">
        <f>ROUND('CC Factors'!AF95*'CC Factors'!$C11*40*4.3,0)</f>
        <v>860</v>
      </c>
      <c r="AJ51" s="230">
        <f>ROUND('CC Factors'!AG95*'CC Factors'!$C11*40*4.3,0)</f>
        <v>860</v>
      </c>
      <c r="AK51" s="230">
        <f>ROUND('CC Factors'!AH95*'CC Factors'!$C11*40*4.3,0)</f>
        <v>860</v>
      </c>
      <c r="AL51" s="230">
        <f>ROUND('CC Factors'!AI95*'CC Factors'!$C11*40*4.3,0)</f>
        <v>860</v>
      </c>
      <c r="AM51" s="230">
        <f>ROUND('CC Factors'!AJ95*'CC Factors'!$C11*40*4.3,0)</f>
        <v>860</v>
      </c>
      <c r="AN51" s="230">
        <f>ROUND('CC Factors'!AK95*'CC Factors'!$C11*40*4.3,0)</f>
        <v>860</v>
      </c>
      <c r="AO51" s="230">
        <f>ROUND('CC Factors'!AL95*'CC Factors'!$C11*40*4.3,0)</f>
        <v>860</v>
      </c>
      <c r="AP51" s="230">
        <f>ROUND('CC Factors'!AM95*'CC Factors'!$C11*40*4.3,0)</f>
        <v>860</v>
      </c>
      <c r="AQ51" s="230">
        <f>ROUND('CC Factors'!AN95*'CC Factors'!$C11*40*4.3,0)</f>
        <v>860</v>
      </c>
      <c r="AR51" s="230">
        <f>ROUND('CC Factors'!AO95*'CC Factors'!$C11*40*4.3,0)</f>
        <v>860</v>
      </c>
      <c r="AS51" s="230">
        <f>ROUND('CC Factors'!AP95*'CC Factors'!$C11*40*4.3,0)</f>
        <v>860</v>
      </c>
      <c r="AT51" s="230">
        <f>ROUND('CC Factors'!AQ95*'CC Factors'!$C11*40*4.3,0)</f>
        <v>860</v>
      </c>
      <c r="AU51" s="268">
        <f>SUM(AI51:AT51)</f>
        <v>10320</v>
      </c>
      <c r="AV51" s="282" t="s">
        <v>184</v>
      </c>
    </row>
    <row r="52" spans="1:48" ht="16.5">
      <c r="A52" s="202" t="s">
        <v>84</v>
      </c>
      <c r="B52" s="201"/>
      <c r="C52" s="201"/>
      <c r="D52" s="201"/>
      <c r="E52" s="230">
        <f>ROUND('CC Factors'!C96*'CC Factors'!$C12*40*4.3,0)</f>
        <v>0</v>
      </c>
      <c r="F52" s="230">
        <f>ROUND('CC Factors'!D96*'CC Factors'!$C12*40*4.3,0)</f>
        <v>0</v>
      </c>
      <c r="G52" s="230">
        <f>ROUND('CC Factors'!E96*'CC Factors'!$C12*40*4.3,0)</f>
        <v>0</v>
      </c>
      <c r="H52" s="550">
        <f t="shared" si="16"/>
        <v>0</v>
      </c>
      <c r="I52" s="233">
        <f>ROUND('CC Factors'!F96*'CC Factors'!$C12*40*4.3,0)</f>
        <v>0</v>
      </c>
      <c r="J52" s="230">
        <f>ROUND('CC Factors'!G96*'CC Factors'!$C12*40*4.3,0)</f>
        <v>0</v>
      </c>
      <c r="K52" s="230">
        <f>ROUND('CC Factors'!H96*'CC Factors'!$C12*40*4.3,0)</f>
        <v>0</v>
      </c>
      <c r="L52" s="230">
        <f>ROUND('CC Factors'!I96*'CC Factors'!$C12*40*4.3,0)</f>
        <v>0</v>
      </c>
      <c r="M52" s="230">
        <f>ROUND('CC Factors'!J96*'CC Factors'!$C12*40*4.3,0)</f>
        <v>0</v>
      </c>
      <c r="N52" s="230">
        <f>ROUND('CC Factors'!K96*'CC Factors'!$C12*40*4.3,0)</f>
        <v>0</v>
      </c>
      <c r="O52" s="230">
        <f>ROUND('CC Factors'!L96*'CC Factors'!$C12*40*4.3,0)</f>
        <v>0</v>
      </c>
      <c r="P52" s="230">
        <f>ROUND('CC Factors'!M96*'CC Factors'!$C12*40*4.3,0)</f>
        <v>0</v>
      </c>
      <c r="Q52" s="230">
        <f>ROUND('CC Factors'!N96*'CC Factors'!$C12*40*4.3,0)</f>
        <v>0</v>
      </c>
      <c r="R52" s="230">
        <f>ROUND('CC Factors'!O96*'CC Factors'!$C12*40*4.3,0)</f>
        <v>0</v>
      </c>
      <c r="S52" s="230">
        <f>ROUND('CC Factors'!P96*'CC Factors'!$C12*40*4.3,0)</f>
        <v>0</v>
      </c>
      <c r="T52" s="230">
        <f>ROUND('CC Factors'!Q96*'CC Factors'!$C12*40*4.3,0)</f>
        <v>0</v>
      </c>
      <c r="U52" s="536">
        <f t="shared" si="17"/>
        <v>0</v>
      </c>
      <c r="V52" s="230">
        <f>ROUND('CC Factors'!S96*'CC Factors'!$C12*40*4.3,0)</f>
        <v>0</v>
      </c>
      <c r="W52" s="230">
        <f>ROUND('CC Factors'!T96*'CC Factors'!$C12*40*4.3,0)</f>
        <v>0</v>
      </c>
      <c r="X52" s="230">
        <f>ROUND('CC Factors'!U96*'CC Factors'!$C12*40*4.3,0)</f>
        <v>0</v>
      </c>
      <c r="Y52" s="230">
        <f>ROUND('CC Factors'!V96*'CC Factors'!$C12*40*4.3,0)</f>
        <v>0</v>
      </c>
      <c r="Z52" s="230">
        <f>ROUND('CC Factors'!W96*'CC Factors'!$C12*40*4.3,0)</f>
        <v>0</v>
      </c>
      <c r="AA52" s="230">
        <f>ROUND('CC Factors'!X96*'CC Factors'!$C12*40*4.3,0)</f>
        <v>0</v>
      </c>
      <c r="AB52" s="230">
        <f>ROUND('CC Factors'!Y96*'CC Factors'!$C12*40*4.3,0)</f>
        <v>0</v>
      </c>
      <c r="AC52" s="230">
        <f>ROUND('CC Factors'!Z96*'CC Factors'!$C12*40*4.3,0)</f>
        <v>0</v>
      </c>
      <c r="AD52" s="230">
        <f>ROUND('CC Factors'!AA96*'CC Factors'!$C12*40*4.3,0)</f>
        <v>0</v>
      </c>
      <c r="AE52" s="230">
        <f>ROUND('CC Factors'!AB96*'CC Factors'!$C12*40*4.3,0)</f>
        <v>0</v>
      </c>
      <c r="AF52" s="230">
        <f>ROUND('CC Factors'!AC96*'CC Factors'!$C12*40*4.3,0)</f>
        <v>0</v>
      </c>
      <c r="AG52" s="230">
        <f>ROUND('CC Factors'!AD96*'CC Factors'!$C12*40*4.3,0)</f>
        <v>0</v>
      </c>
      <c r="AH52" s="536">
        <f t="shared" si="18"/>
        <v>0</v>
      </c>
      <c r="AI52" s="230">
        <f>ROUND('CC Factors'!AF96*'CC Factors'!$C12*40*4.3,0)</f>
        <v>0</v>
      </c>
      <c r="AJ52" s="230">
        <f>ROUND('CC Factors'!AG96*'CC Factors'!$C12*40*4.3,0)</f>
        <v>0</v>
      </c>
      <c r="AK52" s="230">
        <f>ROUND('CC Factors'!AH96*'CC Factors'!$C12*40*4.3,0)</f>
        <v>0</v>
      </c>
      <c r="AL52" s="230">
        <f>ROUND('CC Factors'!AI96*'CC Factors'!$C12*40*4.3,0)</f>
        <v>0</v>
      </c>
      <c r="AM52" s="230">
        <f>ROUND('CC Factors'!AJ96*'CC Factors'!$C12*40*4.3,0)</f>
        <v>0</v>
      </c>
      <c r="AN52" s="230">
        <f>ROUND('CC Factors'!AK96*'CC Factors'!$C12*40*4.3,0)</f>
        <v>0</v>
      </c>
      <c r="AO52" s="230">
        <f>ROUND('CC Factors'!AL96*'CC Factors'!$C12*40*4.3,0)</f>
        <v>0</v>
      </c>
      <c r="AP52" s="230">
        <f>ROUND('CC Factors'!AM96*'CC Factors'!$C12*40*4.3,0)</f>
        <v>0</v>
      </c>
      <c r="AQ52" s="230">
        <f>ROUND('CC Factors'!AN96*'CC Factors'!$C12*40*4.3,0)</f>
        <v>0</v>
      </c>
      <c r="AR52" s="230">
        <f>ROUND('CC Factors'!AO96*'CC Factors'!$C12*40*4.3,0)</f>
        <v>0</v>
      </c>
      <c r="AS52" s="230">
        <f>ROUND('CC Factors'!AP96*'CC Factors'!$C12*40*4.3,0)</f>
        <v>0</v>
      </c>
      <c r="AT52" s="230">
        <f>ROUND('CC Factors'!AQ96*'CC Factors'!$C12*40*4.3,0)</f>
        <v>0</v>
      </c>
      <c r="AU52" s="268">
        <f t="shared" si="19"/>
        <v>0</v>
      </c>
      <c r="AV52" s="282" t="s">
        <v>185</v>
      </c>
    </row>
    <row r="53" spans="1:48" ht="16.5">
      <c r="A53" s="241" t="s">
        <v>307</v>
      </c>
      <c r="B53" s="201"/>
      <c r="C53" s="201"/>
      <c r="D53" s="201"/>
      <c r="E53" s="230">
        <v>1000</v>
      </c>
      <c r="F53" s="230">
        <v>1000</v>
      </c>
      <c r="G53" s="230">
        <v>1000</v>
      </c>
      <c r="H53" s="550">
        <f t="shared" si="16"/>
        <v>3000</v>
      </c>
      <c r="I53" s="233">
        <v>2300</v>
      </c>
      <c r="J53" s="230">
        <v>2300</v>
      </c>
      <c r="K53" s="230">
        <v>2300</v>
      </c>
      <c r="L53" s="230">
        <v>2300</v>
      </c>
      <c r="M53" s="230">
        <v>2300</v>
      </c>
      <c r="N53" s="230">
        <v>2300</v>
      </c>
      <c r="O53" s="230">
        <v>2300</v>
      </c>
      <c r="P53" s="230">
        <v>2300</v>
      </c>
      <c r="Q53" s="230">
        <v>2300</v>
      </c>
      <c r="R53" s="230">
        <v>2300</v>
      </c>
      <c r="S53" s="230">
        <v>2300</v>
      </c>
      <c r="T53" s="230">
        <v>2300</v>
      </c>
      <c r="U53" s="536">
        <f t="shared" si="17"/>
        <v>27600</v>
      </c>
      <c r="V53" s="230">
        <v>3000</v>
      </c>
      <c r="W53" s="230">
        <v>3000</v>
      </c>
      <c r="X53" s="230">
        <v>3000</v>
      </c>
      <c r="Y53" s="230">
        <v>3000</v>
      </c>
      <c r="Z53" s="230">
        <v>3000</v>
      </c>
      <c r="AA53" s="230">
        <v>3000</v>
      </c>
      <c r="AB53" s="230">
        <v>3000</v>
      </c>
      <c r="AC53" s="230">
        <v>3000</v>
      </c>
      <c r="AD53" s="230">
        <v>3000</v>
      </c>
      <c r="AE53" s="230">
        <v>3000</v>
      </c>
      <c r="AF53" s="230">
        <v>3000</v>
      </c>
      <c r="AG53" s="230">
        <v>3000</v>
      </c>
      <c r="AH53" s="536">
        <f t="shared" si="18"/>
        <v>36000</v>
      </c>
      <c r="AI53" s="230">
        <v>3200</v>
      </c>
      <c r="AJ53" s="230">
        <v>3200</v>
      </c>
      <c r="AK53" s="230">
        <v>3200</v>
      </c>
      <c r="AL53" s="230">
        <v>3200</v>
      </c>
      <c r="AM53" s="230">
        <v>3200</v>
      </c>
      <c r="AN53" s="230">
        <v>3200</v>
      </c>
      <c r="AO53" s="230">
        <v>3200</v>
      </c>
      <c r="AP53" s="230">
        <v>3200</v>
      </c>
      <c r="AQ53" s="230">
        <v>3200</v>
      </c>
      <c r="AR53" s="230">
        <v>3200</v>
      </c>
      <c r="AS53" s="230">
        <v>3200</v>
      </c>
      <c r="AT53" s="230">
        <v>3200</v>
      </c>
      <c r="AU53" s="268">
        <f>IF(SUM(AI53:AT53)&lt;10,0,SUM(AI53:AT53))</f>
        <v>38400</v>
      </c>
      <c r="AV53" s="282" t="s">
        <v>186</v>
      </c>
    </row>
    <row r="54" spans="1:48" ht="16.5">
      <c r="A54" s="202" t="s">
        <v>50</v>
      </c>
      <c r="B54" s="201"/>
      <c r="C54" s="201"/>
      <c r="D54" s="230">
        <f>ROUND(SUM(D45:D52)*$B$43,0)</f>
        <v>0</v>
      </c>
      <c r="E54" s="230">
        <f>ROUND(SUM(E45:E52)*$B$43,0)</f>
        <v>355</v>
      </c>
      <c r="F54" s="230">
        <f>ROUND(SUM(F45:F52)*$B$43,0)</f>
        <v>882</v>
      </c>
      <c r="G54" s="230">
        <f>ROUNDUP(SUM(G45:G52)*$B$43,0)</f>
        <v>2566</v>
      </c>
      <c r="H54" s="550">
        <f t="shared" si="16"/>
        <v>3803</v>
      </c>
      <c r="I54" s="233">
        <f>ROUND(SUM(I45:I52)*$B$43,0)</f>
        <v>3303</v>
      </c>
      <c r="J54" s="230">
        <f>ROUND(SUM(J45:J52)*$B$43,0)</f>
        <v>3303</v>
      </c>
      <c r="K54" s="230">
        <f>ROUND(SUM(K45:K52)*$B$43,0)</f>
        <v>3303</v>
      </c>
      <c r="L54" s="230">
        <f aca="true" t="shared" si="20" ref="L54:T54">ROUND(SUM(L45:L52)*$B$43,0)</f>
        <v>3303</v>
      </c>
      <c r="M54" s="230">
        <f t="shared" si="20"/>
        <v>3303</v>
      </c>
      <c r="N54" s="230">
        <f t="shared" si="20"/>
        <v>3303</v>
      </c>
      <c r="O54" s="230">
        <f t="shared" si="20"/>
        <v>3408</v>
      </c>
      <c r="P54" s="230">
        <f t="shared" si="20"/>
        <v>3408</v>
      </c>
      <c r="Q54" s="230">
        <f t="shared" si="20"/>
        <v>2618</v>
      </c>
      <c r="R54" s="230">
        <f t="shared" si="20"/>
        <v>2618</v>
      </c>
      <c r="S54" s="230">
        <f t="shared" si="20"/>
        <v>2618</v>
      </c>
      <c r="T54" s="230">
        <f t="shared" si="20"/>
        <v>3540</v>
      </c>
      <c r="U54" s="536">
        <f t="shared" si="17"/>
        <v>38028</v>
      </c>
      <c r="V54" s="230">
        <f aca="true" t="shared" si="21" ref="V54:AG54">ROUND(SUM(V45:V52)*$B$43,0)</f>
        <v>3842</v>
      </c>
      <c r="W54" s="230">
        <f t="shared" si="21"/>
        <v>3842</v>
      </c>
      <c r="X54" s="230">
        <f t="shared" si="21"/>
        <v>3842</v>
      </c>
      <c r="Y54" s="230">
        <f t="shared" si="21"/>
        <v>4000</v>
      </c>
      <c r="Z54" s="230">
        <f t="shared" si="21"/>
        <v>4000</v>
      </c>
      <c r="AA54" s="230">
        <f t="shared" si="21"/>
        <v>4000</v>
      </c>
      <c r="AB54" s="230">
        <f t="shared" si="21"/>
        <v>4000</v>
      </c>
      <c r="AC54" s="230">
        <f t="shared" si="21"/>
        <v>4000</v>
      </c>
      <c r="AD54" s="230">
        <f t="shared" si="21"/>
        <v>3211</v>
      </c>
      <c r="AE54" s="230">
        <f t="shared" si="21"/>
        <v>3211</v>
      </c>
      <c r="AF54" s="230">
        <f t="shared" si="21"/>
        <v>3211</v>
      </c>
      <c r="AG54" s="230">
        <f t="shared" si="21"/>
        <v>4000</v>
      </c>
      <c r="AH54" s="536">
        <f t="shared" si="18"/>
        <v>45159</v>
      </c>
      <c r="AI54" s="230">
        <f aca="true" t="shared" si="22" ref="AI54:AT54">ROUND(SUM(AI45:AI52)*$B$43,0)</f>
        <v>4408</v>
      </c>
      <c r="AJ54" s="230">
        <f t="shared" si="22"/>
        <v>4408</v>
      </c>
      <c r="AK54" s="230">
        <f t="shared" si="22"/>
        <v>4408</v>
      </c>
      <c r="AL54" s="230">
        <f t="shared" si="22"/>
        <v>4408</v>
      </c>
      <c r="AM54" s="230">
        <f t="shared" si="22"/>
        <v>4408</v>
      </c>
      <c r="AN54" s="230">
        <f t="shared" si="22"/>
        <v>4408</v>
      </c>
      <c r="AO54" s="230">
        <f t="shared" si="22"/>
        <v>4408</v>
      </c>
      <c r="AP54" s="230">
        <f t="shared" si="22"/>
        <v>4408</v>
      </c>
      <c r="AQ54" s="230">
        <f t="shared" si="22"/>
        <v>3618</v>
      </c>
      <c r="AR54" s="230">
        <f t="shared" si="22"/>
        <v>3618</v>
      </c>
      <c r="AS54" s="230">
        <f t="shared" si="22"/>
        <v>3618</v>
      </c>
      <c r="AT54" s="230">
        <f t="shared" si="22"/>
        <v>4408</v>
      </c>
      <c r="AU54" s="268">
        <f>IF(SUM(AI54:AT54)&lt;10,0,SUM(AI54:AT54))</f>
        <v>50526</v>
      </c>
      <c r="AV54" s="282" t="s">
        <v>187</v>
      </c>
    </row>
    <row r="55" spans="1:48" ht="17.25" thickBot="1">
      <c r="A55" s="202" t="s">
        <v>51</v>
      </c>
      <c r="B55" s="201">
        <v>0</v>
      </c>
      <c r="C55" s="201">
        <v>0</v>
      </c>
      <c r="D55" s="201">
        <v>0</v>
      </c>
      <c r="E55" s="201">
        <v>800</v>
      </c>
      <c r="F55" s="201">
        <v>800</v>
      </c>
      <c r="G55" s="201">
        <f aca="true" t="shared" si="23" ref="G55:T55">F55</f>
        <v>800</v>
      </c>
      <c r="H55" s="550">
        <f t="shared" si="16"/>
        <v>2400</v>
      </c>
      <c r="I55" s="236">
        <v>800</v>
      </c>
      <c r="J55" s="201">
        <f t="shared" si="23"/>
        <v>800</v>
      </c>
      <c r="K55" s="201">
        <f t="shared" si="23"/>
        <v>800</v>
      </c>
      <c r="L55" s="201">
        <f t="shared" si="23"/>
        <v>800</v>
      </c>
      <c r="M55" s="201">
        <f t="shared" si="23"/>
        <v>800</v>
      </c>
      <c r="N55" s="201">
        <f t="shared" si="23"/>
        <v>800</v>
      </c>
      <c r="O55" s="201">
        <f t="shared" si="23"/>
        <v>800</v>
      </c>
      <c r="P55" s="201">
        <f t="shared" si="23"/>
        <v>800</v>
      </c>
      <c r="Q55" s="201">
        <f t="shared" si="23"/>
        <v>800</v>
      </c>
      <c r="R55" s="201">
        <f t="shared" si="23"/>
        <v>800</v>
      </c>
      <c r="S55" s="201">
        <f t="shared" si="23"/>
        <v>800</v>
      </c>
      <c r="T55" s="201">
        <f t="shared" si="23"/>
        <v>800</v>
      </c>
      <c r="U55" s="536">
        <f t="shared" si="17"/>
        <v>9600</v>
      </c>
      <c r="V55" s="201">
        <f>T55</f>
        <v>800</v>
      </c>
      <c r="W55" s="201">
        <f aca="true" t="shared" si="24" ref="W55:AF55">V55</f>
        <v>800</v>
      </c>
      <c r="X55" s="201">
        <f t="shared" si="24"/>
        <v>800</v>
      </c>
      <c r="Y55" s="201">
        <f t="shared" si="24"/>
        <v>800</v>
      </c>
      <c r="Z55" s="201">
        <f t="shared" si="24"/>
        <v>800</v>
      </c>
      <c r="AA55" s="201">
        <f t="shared" si="24"/>
        <v>800</v>
      </c>
      <c r="AB55" s="201">
        <f t="shared" si="24"/>
        <v>800</v>
      </c>
      <c r="AC55" s="201">
        <f t="shared" si="24"/>
        <v>800</v>
      </c>
      <c r="AD55" s="201">
        <f t="shared" si="24"/>
        <v>800</v>
      </c>
      <c r="AE55" s="201">
        <f t="shared" si="24"/>
        <v>800</v>
      </c>
      <c r="AF55" s="201">
        <f t="shared" si="24"/>
        <v>800</v>
      </c>
      <c r="AG55" s="201">
        <v>46762</v>
      </c>
      <c r="AH55" s="536">
        <f t="shared" si="18"/>
        <v>55562</v>
      </c>
      <c r="AI55" s="201">
        <v>800</v>
      </c>
      <c r="AJ55" s="201">
        <f aca="true" t="shared" si="25" ref="AJ55:AS55">AI55</f>
        <v>800</v>
      </c>
      <c r="AK55" s="201">
        <f t="shared" si="25"/>
        <v>800</v>
      </c>
      <c r="AL55" s="201">
        <f t="shared" si="25"/>
        <v>800</v>
      </c>
      <c r="AM55" s="201">
        <f t="shared" si="25"/>
        <v>800</v>
      </c>
      <c r="AN55" s="201">
        <f t="shared" si="25"/>
        <v>800</v>
      </c>
      <c r="AO55" s="201">
        <f t="shared" si="25"/>
        <v>800</v>
      </c>
      <c r="AP55" s="201">
        <f t="shared" si="25"/>
        <v>800</v>
      </c>
      <c r="AQ55" s="201">
        <f t="shared" si="25"/>
        <v>800</v>
      </c>
      <c r="AR55" s="201">
        <f t="shared" si="25"/>
        <v>800</v>
      </c>
      <c r="AS55" s="201">
        <f t="shared" si="25"/>
        <v>800</v>
      </c>
      <c r="AT55" s="201">
        <v>86234</v>
      </c>
      <c r="AU55" s="268">
        <f>IF(SUM(AI55:AT55)&lt;10,0,SUM(AI55:AT55))</f>
        <v>95034</v>
      </c>
      <c r="AV55" s="81" t="s">
        <v>188</v>
      </c>
    </row>
    <row r="56" spans="1:48" s="199" customFormat="1" ht="18.75" customHeight="1" thickTop="1">
      <c r="A56" s="198" t="s">
        <v>52</v>
      </c>
      <c r="B56" s="291">
        <f>IF(SUM(B45:B55)&lt;10,0,ROUNDUP(SUM(B45:B55),0))</f>
        <v>0</v>
      </c>
      <c r="C56" s="291">
        <f>IF(SUM(C45:C55)&lt;10,0,ROUNDUP(SUM(C45:C55),0))</f>
        <v>0</v>
      </c>
      <c r="D56" s="291">
        <f>IF(SUM(D45:D55)&lt;10,0,ROUNDUP(SUM(D45:D55),0))</f>
        <v>0</v>
      </c>
      <c r="E56" s="291">
        <f>IF(SUM(E45:E55)&lt;10,0,ROUNDUP(SUM(E45:E55),0))</f>
        <v>6799</v>
      </c>
      <c r="F56" s="291">
        <f>IF(SUM(F45:F55)&lt;10,0,ROUND(SUM(F45:F55),0))</f>
        <v>14206</v>
      </c>
      <c r="G56" s="314">
        <f>IF(SUM(G45:G55)&lt;10,0,ROUNDUP(SUM(G45:G55),0))</f>
        <v>37906</v>
      </c>
      <c r="H56" s="550">
        <f t="shared" si="16"/>
        <v>58911</v>
      </c>
      <c r="I56" s="238">
        <f aca="true" t="shared" si="26" ref="I56:T56">IF(SUM(I45:I55)&lt;10,0,SUM(I45:I55))</f>
        <v>49575</v>
      </c>
      <c r="J56" s="266">
        <f t="shared" si="26"/>
        <v>49575</v>
      </c>
      <c r="K56" s="231">
        <f t="shared" si="26"/>
        <v>49575</v>
      </c>
      <c r="L56" s="231">
        <f t="shared" si="26"/>
        <v>49575</v>
      </c>
      <c r="M56" s="231">
        <f t="shared" si="26"/>
        <v>49575</v>
      </c>
      <c r="N56" s="231">
        <f t="shared" si="26"/>
        <v>49575</v>
      </c>
      <c r="O56" s="231">
        <f t="shared" si="26"/>
        <v>51056</v>
      </c>
      <c r="P56" s="231">
        <f t="shared" si="26"/>
        <v>51056</v>
      </c>
      <c r="Q56" s="231">
        <f t="shared" si="26"/>
        <v>39946</v>
      </c>
      <c r="R56" s="231">
        <f t="shared" si="26"/>
        <v>39946</v>
      </c>
      <c r="S56" s="231">
        <f t="shared" si="26"/>
        <v>39946</v>
      </c>
      <c r="T56" s="231">
        <f t="shared" si="26"/>
        <v>52908</v>
      </c>
      <c r="U56" s="536">
        <f t="shared" si="17"/>
        <v>572308</v>
      </c>
      <c r="V56" s="200">
        <f aca="true" t="shared" si="27" ref="V56:AG56">IF(SUM(V45:V55)&lt;10,0,SUM(V45:V55))</f>
        <v>57866</v>
      </c>
      <c r="W56" s="200">
        <f t="shared" si="27"/>
        <v>57866</v>
      </c>
      <c r="X56" s="200">
        <f t="shared" si="27"/>
        <v>57866</v>
      </c>
      <c r="Y56" s="200">
        <f t="shared" si="27"/>
        <v>60088</v>
      </c>
      <c r="Z56" s="200">
        <f t="shared" si="27"/>
        <v>60088</v>
      </c>
      <c r="AA56" s="200">
        <f t="shared" si="27"/>
        <v>60088</v>
      </c>
      <c r="AB56" s="200">
        <f t="shared" si="27"/>
        <v>60088</v>
      </c>
      <c r="AC56" s="200">
        <f t="shared" si="27"/>
        <v>60088</v>
      </c>
      <c r="AD56" s="200">
        <f t="shared" si="27"/>
        <v>48979</v>
      </c>
      <c r="AE56" s="200">
        <f t="shared" si="27"/>
        <v>48979</v>
      </c>
      <c r="AF56" s="200">
        <f t="shared" si="27"/>
        <v>48979</v>
      </c>
      <c r="AG56" s="200">
        <f t="shared" si="27"/>
        <v>106050</v>
      </c>
      <c r="AH56" s="536">
        <f t="shared" si="18"/>
        <v>727025</v>
      </c>
      <c r="AI56" s="200">
        <f aca="true" t="shared" si="28" ref="AI56:AT56">IF(SUM(AI45:AI55)&lt;10,0,SUM(AI45:AI55))</f>
        <v>66028</v>
      </c>
      <c r="AJ56" s="200">
        <f t="shared" si="28"/>
        <v>66028</v>
      </c>
      <c r="AK56" s="200">
        <f t="shared" si="28"/>
        <v>66028</v>
      </c>
      <c r="AL56" s="200">
        <f t="shared" si="28"/>
        <v>66028</v>
      </c>
      <c r="AM56" s="200">
        <f t="shared" si="28"/>
        <v>66028</v>
      </c>
      <c r="AN56" s="200">
        <f t="shared" si="28"/>
        <v>66028</v>
      </c>
      <c r="AO56" s="200">
        <f t="shared" si="28"/>
        <v>66028</v>
      </c>
      <c r="AP56" s="200">
        <f t="shared" si="28"/>
        <v>66028</v>
      </c>
      <c r="AQ56" s="200">
        <f t="shared" si="28"/>
        <v>54918</v>
      </c>
      <c r="AR56" s="200">
        <f t="shared" si="28"/>
        <v>54918</v>
      </c>
      <c r="AS56" s="200">
        <f t="shared" si="28"/>
        <v>54918</v>
      </c>
      <c r="AT56" s="200">
        <f t="shared" si="28"/>
        <v>151462</v>
      </c>
      <c r="AU56" s="270">
        <f>IF(SUM(AI56:AT56)&lt;10,0,SUM(AI56:AT56))</f>
        <v>844440</v>
      </c>
      <c r="AV56" s="283" t="s">
        <v>52</v>
      </c>
    </row>
    <row r="57" spans="1:48" ht="15" thickBot="1">
      <c r="A57" s="68"/>
      <c r="B57" s="68">
        <f>COUNT(B45:B52)</f>
        <v>0</v>
      </c>
      <c r="C57" s="68"/>
      <c r="D57" s="68"/>
      <c r="E57" s="68"/>
      <c r="F57" s="68"/>
      <c r="G57" s="68"/>
      <c r="H57" s="68"/>
      <c r="I57" s="68"/>
      <c r="J57" s="68"/>
      <c r="K57" s="68"/>
      <c r="L57" s="68"/>
      <c r="M57" s="68"/>
      <c r="N57" s="68"/>
      <c r="O57" s="68"/>
      <c r="P57" s="68"/>
      <c r="Q57" s="68"/>
      <c r="R57" s="68"/>
      <c r="S57" s="68"/>
      <c r="T57" s="68"/>
      <c r="U57" s="79"/>
      <c r="V57" s="68"/>
      <c r="W57" s="68"/>
      <c r="X57" s="68"/>
      <c r="Y57" s="68"/>
      <c r="Z57" s="68"/>
      <c r="AA57" s="68"/>
      <c r="AB57" s="68"/>
      <c r="AC57" s="68"/>
      <c r="AD57" s="68"/>
      <c r="AE57" s="68"/>
      <c r="AF57" s="68"/>
      <c r="AG57" s="78"/>
      <c r="AH57" s="79"/>
      <c r="AI57" s="68"/>
      <c r="AJ57" s="68"/>
      <c r="AK57" s="68"/>
      <c r="AL57" s="68"/>
      <c r="AM57" s="68"/>
      <c r="AN57" s="68"/>
      <c r="AO57" s="68"/>
      <c r="AP57" s="68"/>
      <c r="AQ57" s="68"/>
      <c r="AR57" s="68"/>
      <c r="AS57" s="68"/>
      <c r="AT57" s="78"/>
      <c r="AU57" s="79"/>
      <c r="AV57" s="68"/>
    </row>
    <row r="58" spans="1:51" ht="18">
      <c r="A58" s="296" t="s">
        <v>196</v>
      </c>
      <c r="B58" s="630">
        <v>0.025</v>
      </c>
      <c r="C58" s="68" t="s">
        <v>177</v>
      </c>
      <c r="G58" s="630">
        <v>0.02</v>
      </c>
      <c r="H58" s="68" t="s">
        <v>179</v>
      </c>
      <c r="L58" s="68"/>
      <c r="M58" s="630">
        <v>0.015</v>
      </c>
      <c r="N58" s="631" t="s">
        <v>55</v>
      </c>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401" t="s">
        <v>172</v>
      </c>
      <c r="AW58" s="400"/>
      <c r="AX58" s="400"/>
      <c r="AY58" s="400"/>
    </row>
    <row r="59" spans="1:48" ht="13.5">
      <c r="A59" s="307" t="s">
        <v>237</v>
      </c>
      <c r="B59" s="201"/>
      <c r="C59" s="201"/>
      <c r="D59" s="201"/>
      <c r="E59" s="201"/>
      <c r="F59" s="201">
        <v>0</v>
      </c>
      <c r="G59" s="201">
        <v>0</v>
      </c>
      <c r="H59" s="550">
        <f aca="true" t="shared" si="29" ref="H59:H67">ROUND(SUM(B59:G59),0)</f>
        <v>0</v>
      </c>
      <c r="I59" s="233">
        <f>G58*I36</f>
        <v>1828.6000000000001</v>
      </c>
      <c r="J59" s="232">
        <f>B58*J36</f>
        <v>1823.25</v>
      </c>
      <c r="K59" s="232">
        <f>B58*K36</f>
        <v>1823.25</v>
      </c>
      <c r="L59" s="232">
        <f>B58*L36</f>
        <v>1875.2</v>
      </c>
      <c r="M59" s="232">
        <f>B58*M36</f>
        <v>1868.95</v>
      </c>
      <c r="N59" s="232">
        <f>B58*N36</f>
        <v>1788.325</v>
      </c>
      <c r="O59" s="232">
        <f>B58*O36</f>
        <v>1897.6000000000001</v>
      </c>
      <c r="P59" s="232">
        <f>B58*P36</f>
        <v>2001.025</v>
      </c>
      <c r="Q59" s="232">
        <f>B58*Q36</f>
        <v>1995.7250000000001</v>
      </c>
      <c r="R59" s="232">
        <f>B58*R36</f>
        <v>2027.9750000000001</v>
      </c>
      <c r="S59" s="232">
        <f>B58*S36</f>
        <v>2041.4</v>
      </c>
      <c r="T59" s="232">
        <f>B58*T36</f>
        <v>2165.275</v>
      </c>
      <c r="U59" s="536">
        <f aca="true" t="shared" si="30" ref="U59:U67">ROUND(SUM(I59:T59),0)</f>
        <v>23137</v>
      </c>
      <c r="V59" s="232">
        <f>B58*V36</f>
        <v>2905.8250000000003</v>
      </c>
      <c r="W59" s="232">
        <f>B58*W36</f>
        <v>2321.4500000000003</v>
      </c>
      <c r="X59" s="232">
        <f>B58*X36</f>
        <v>2321.4500000000003</v>
      </c>
      <c r="Y59" s="232">
        <f>B58*Y36</f>
        <v>2373.375</v>
      </c>
      <c r="Z59" s="232">
        <f>B58*Z36</f>
        <v>2367.125</v>
      </c>
      <c r="AA59" s="232">
        <f>B58*AA36</f>
        <v>2286.5</v>
      </c>
      <c r="AB59" s="232">
        <f>B58*AB36</f>
        <v>2395.775</v>
      </c>
      <c r="AC59" s="232">
        <f>B58*AC36</f>
        <v>2499.2250000000004</v>
      </c>
      <c r="AD59" s="232">
        <f>B58*AD36</f>
        <v>2492.65</v>
      </c>
      <c r="AE59" s="232">
        <f>B58*AE36</f>
        <v>2526.15</v>
      </c>
      <c r="AF59" s="232">
        <f>B58*AF36</f>
        <v>2539.6000000000004</v>
      </c>
      <c r="AG59" s="232">
        <f>B58*AG36</f>
        <v>2601.2250000000004</v>
      </c>
      <c r="AH59" s="536">
        <f aca="true" t="shared" si="31" ref="AH59:AH67">ROUND(SUM(V59:AG59),0)</f>
        <v>29630</v>
      </c>
      <c r="AI59" s="232">
        <f>B58*AI36</f>
        <v>3399.375</v>
      </c>
      <c r="AJ59" s="232">
        <f>B58*AJ36</f>
        <v>2743.125</v>
      </c>
      <c r="AK59" s="232">
        <f>B58*AK36</f>
        <v>2743.125</v>
      </c>
      <c r="AL59" s="232">
        <f>B58*AL36</f>
        <v>2759.7000000000003</v>
      </c>
      <c r="AM59" s="232">
        <f>B58*AM36</f>
        <v>2756.5750000000003</v>
      </c>
      <c r="AN59" s="232">
        <f>B58*AN36</f>
        <v>2662.5</v>
      </c>
      <c r="AO59" s="232">
        <f>B58*AO36</f>
        <v>2671</v>
      </c>
      <c r="AP59" s="232">
        <f>B58*AP36</f>
        <v>2800.375</v>
      </c>
      <c r="AQ59" s="232">
        <f>B58*AQ36</f>
        <v>2790.7000000000003</v>
      </c>
      <c r="AR59" s="232">
        <f>B58*AR36</f>
        <v>2788.8250000000003</v>
      </c>
      <c r="AS59" s="232">
        <f>B58*AS36</f>
        <v>2805.375</v>
      </c>
      <c r="AT59" s="232">
        <f>B58*AT36</f>
        <v>2803.5</v>
      </c>
      <c r="AU59" s="268">
        <f>IF(SUM(AI59:AT59)&lt;10,0,SUM(AI59:AT59))</f>
        <v>33724.175</v>
      </c>
      <c r="AV59" s="68" t="s">
        <v>177</v>
      </c>
    </row>
    <row r="60" spans="1:48" ht="13.5">
      <c r="A60" s="307" t="s">
        <v>236</v>
      </c>
      <c r="B60" s="201"/>
      <c r="C60" s="201"/>
      <c r="D60" s="201"/>
      <c r="E60" s="201"/>
      <c r="F60" s="201">
        <v>0</v>
      </c>
      <c r="G60" s="201">
        <v>0</v>
      </c>
      <c r="H60" s="550">
        <f t="shared" si="29"/>
        <v>0</v>
      </c>
      <c r="I60" s="236">
        <v>0</v>
      </c>
      <c r="J60" s="235">
        <v>0</v>
      </c>
      <c r="K60" s="201">
        <v>0</v>
      </c>
      <c r="L60" s="201">
        <v>0</v>
      </c>
      <c r="M60" s="201">
        <v>0</v>
      </c>
      <c r="N60" s="201">
        <f aca="true" t="shared" si="32" ref="N60:T60">M60</f>
        <v>0</v>
      </c>
      <c r="O60" s="201">
        <f t="shared" si="32"/>
        <v>0</v>
      </c>
      <c r="P60" s="201">
        <f t="shared" si="32"/>
        <v>0</v>
      </c>
      <c r="Q60" s="201">
        <f t="shared" si="32"/>
        <v>0</v>
      </c>
      <c r="R60" s="201">
        <f t="shared" si="32"/>
        <v>0</v>
      </c>
      <c r="S60" s="201">
        <f t="shared" si="32"/>
        <v>0</v>
      </c>
      <c r="T60" s="201">
        <f t="shared" si="32"/>
        <v>0</v>
      </c>
      <c r="U60" s="536">
        <f t="shared" si="30"/>
        <v>0</v>
      </c>
      <c r="V60" s="201">
        <f>T60</f>
        <v>0</v>
      </c>
      <c r="W60" s="201">
        <f aca="true" t="shared" si="33" ref="W60:AG60">V60</f>
        <v>0</v>
      </c>
      <c r="X60" s="201">
        <f t="shared" si="33"/>
        <v>0</v>
      </c>
      <c r="Y60" s="201">
        <f t="shared" si="33"/>
        <v>0</v>
      </c>
      <c r="Z60" s="201">
        <f t="shared" si="33"/>
        <v>0</v>
      </c>
      <c r="AA60" s="201">
        <f t="shared" si="33"/>
        <v>0</v>
      </c>
      <c r="AB60" s="201">
        <f t="shared" si="33"/>
        <v>0</v>
      </c>
      <c r="AC60" s="201">
        <f t="shared" si="33"/>
        <v>0</v>
      </c>
      <c r="AD60" s="201">
        <f t="shared" si="33"/>
        <v>0</v>
      </c>
      <c r="AE60" s="201">
        <f t="shared" si="33"/>
        <v>0</v>
      </c>
      <c r="AF60" s="201">
        <f t="shared" si="33"/>
        <v>0</v>
      </c>
      <c r="AG60" s="201">
        <f t="shared" si="33"/>
        <v>0</v>
      </c>
      <c r="AH60" s="536">
        <f t="shared" si="31"/>
        <v>0</v>
      </c>
      <c r="AI60" s="201">
        <f>AG60</f>
        <v>0</v>
      </c>
      <c r="AJ60" s="201">
        <f aca="true" t="shared" si="34" ref="AJ60:AT60">AI60</f>
        <v>0</v>
      </c>
      <c r="AK60" s="201">
        <f t="shared" si="34"/>
        <v>0</v>
      </c>
      <c r="AL60" s="201">
        <f t="shared" si="34"/>
        <v>0</v>
      </c>
      <c r="AM60" s="201">
        <f t="shared" si="34"/>
        <v>0</v>
      </c>
      <c r="AN60" s="201">
        <f t="shared" si="34"/>
        <v>0</v>
      </c>
      <c r="AO60" s="201">
        <f t="shared" si="34"/>
        <v>0</v>
      </c>
      <c r="AP60" s="201">
        <f t="shared" si="34"/>
        <v>0</v>
      </c>
      <c r="AQ60" s="201">
        <f t="shared" si="34"/>
        <v>0</v>
      </c>
      <c r="AR60" s="201">
        <f t="shared" si="34"/>
        <v>0</v>
      </c>
      <c r="AS60" s="201">
        <f t="shared" si="34"/>
        <v>0</v>
      </c>
      <c r="AT60" s="201">
        <f t="shared" si="34"/>
        <v>0</v>
      </c>
      <c r="AU60" s="269">
        <f aca="true" t="shared" si="35" ref="AU60:AU67">SUM(AI60:AT60)</f>
        <v>0</v>
      </c>
      <c r="AV60" s="68" t="s">
        <v>176</v>
      </c>
    </row>
    <row r="61" spans="1:48" s="177" customFormat="1" ht="13.5">
      <c r="A61" s="202" t="s">
        <v>178</v>
      </c>
      <c r="B61" s="284"/>
      <c r="C61" s="284"/>
      <c r="D61" s="284"/>
      <c r="E61" s="284"/>
      <c r="F61" s="284">
        <v>0</v>
      </c>
      <c r="G61" s="284">
        <v>0</v>
      </c>
      <c r="H61" s="550">
        <f t="shared" si="29"/>
        <v>0</v>
      </c>
      <c r="I61" s="285">
        <v>85</v>
      </c>
      <c r="J61" s="539">
        <v>85</v>
      </c>
      <c r="K61" s="284">
        <v>85</v>
      </c>
      <c r="L61" s="284">
        <v>85</v>
      </c>
      <c r="M61" s="284">
        <f aca="true" t="shared" si="36" ref="M61:T61">L61</f>
        <v>85</v>
      </c>
      <c r="N61" s="284">
        <f t="shared" si="36"/>
        <v>85</v>
      </c>
      <c r="O61" s="284">
        <f t="shared" si="36"/>
        <v>85</v>
      </c>
      <c r="P61" s="284">
        <f t="shared" si="36"/>
        <v>85</v>
      </c>
      <c r="Q61" s="284">
        <f t="shared" si="36"/>
        <v>85</v>
      </c>
      <c r="R61" s="284">
        <f t="shared" si="36"/>
        <v>85</v>
      </c>
      <c r="S61" s="284">
        <f t="shared" si="36"/>
        <v>85</v>
      </c>
      <c r="T61" s="284">
        <f t="shared" si="36"/>
        <v>85</v>
      </c>
      <c r="U61" s="536">
        <f t="shared" si="30"/>
        <v>1020</v>
      </c>
      <c r="V61" s="284">
        <f aca="true" t="shared" si="37" ref="V61:V67">T61</f>
        <v>85</v>
      </c>
      <c r="W61" s="284">
        <f aca="true" t="shared" si="38" ref="W61:AG61">V61</f>
        <v>85</v>
      </c>
      <c r="X61" s="284">
        <f t="shared" si="38"/>
        <v>85</v>
      </c>
      <c r="Y61" s="284">
        <f t="shared" si="38"/>
        <v>85</v>
      </c>
      <c r="Z61" s="284">
        <f t="shared" si="38"/>
        <v>85</v>
      </c>
      <c r="AA61" s="284">
        <f t="shared" si="38"/>
        <v>85</v>
      </c>
      <c r="AB61" s="284">
        <f t="shared" si="38"/>
        <v>85</v>
      </c>
      <c r="AC61" s="284">
        <f t="shared" si="38"/>
        <v>85</v>
      </c>
      <c r="AD61" s="284">
        <f t="shared" si="38"/>
        <v>85</v>
      </c>
      <c r="AE61" s="284">
        <f t="shared" si="38"/>
        <v>85</v>
      </c>
      <c r="AF61" s="284">
        <f t="shared" si="38"/>
        <v>85</v>
      </c>
      <c r="AG61" s="284">
        <f t="shared" si="38"/>
        <v>85</v>
      </c>
      <c r="AH61" s="536">
        <f t="shared" si="31"/>
        <v>1020</v>
      </c>
      <c r="AI61" s="284">
        <f>AG61</f>
        <v>85</v>
      </c>
      <c r="AJ61" s="284">
        <f aca="true" t="shared" si="39" ref="AJ61:AT61">AI61</f>
        <v>85</v>
      </c>
      <c r="AK61" s="284">
        <f t="shared" si="39"/>
        <v>85</v>
      </c>
      <c r="AL61" s="284">
        <f t="shared" si="39"/>
        <v>85</v>
      </c>
      <c r="AM61" s="284">
        <f t="shared" si="39"/>
        <v>85</v>
      </c>
      <c r="AN61" s="284">
        <f t="shared" si="39"/>
        <v>85</v>
      </c>
      <c r="AO61" s="284">
        <f t="shared" si="39"/>
        <v>85</v>
      </c>
      <c r="AP61" s="284">
        <f t="shared" si="39"/>
        <v>85</v>
      </c>
      <c r="AQ61" s="284">
        <f t="shared" si="39"/>
        <v>85</v>
      </c>
      <c r="AR61" s="284">
        <f t="shared" si="39"/>
        <v>85</v>
      </c>
      <c r="AS61" s="284">
        <f t="shared" si="39"/>
        <v>85</v>
      </c>
      <c r="AT61" s="284">
        <f t="shared" si="39"/>
        <v>85</v>
      </c>
      <c r="AU61" s="269">
        <f t="shared" si="35"/>
        <v>1020</v>
      </c>
      <c r="AV61" s="95" t="s">
        <v>178</v>
      </c>
    </row>
    <row r="62" spans="1:51" s="101" customFormat="1" ht="13.5">
      <c r="A62" s="202" t="s">
        <v>53</v>
      </c>
      <c r="B62" s="288"/>
      <c r="C62" s="288"/>
      <c r="D62" s="288"/>
      <c r="E62" s="288"/>
      <c r="F62" s="288"/>
      <c r="G62" s="288">
        <v>0</v>
      </c>
      <c r="H62" s="550">
        <f t="shared" si="29"/>
        <v>0</v>
      </c>
      <c r="I62" s="233">
        <f>G58*I36</f>
        <v>1828.6000000000001</v>
      </c>
      <c r="J62" s="232">
        <f>G58*J36</f>
        <v>1458.6000000000001</v>
      </c>
      <c r="K62" s="232">
        <f>G58*K36</f>
        <v>1458.6000000000001</v>
      </c>
      <c r="L62" s="232">
        <f>G58*L36</f>
        <v>1500.16</v>
      </c>
      <c r="M62" s="233">
        <f>G58*M36</f>
        <v>1495.16</v>
      </c>
      <c r="N62" s="232">
        <f>G58*N36</f>
        <v>1430.66</v>
      </c>
      <c r="O62" s="232">
        <f>G58*O36</f>
        <v>1518.08</v>
      </c>
      <c r="P62" s="232">
        <f>G58*P36</f>
        <v>1600.82</v>
      </c>
      <c r="Q62" s="232">
        <f>G58*Q36</f>
        <v>1596.58</v>
      </c>
      <c r="R62" s="232">
        <f>G58*R36</f>
        <v>1622.38</v>
      </c>
      <c r="S62" s="232">
        <f>G58*S36</f>
        <v>1633.1200000000001</v>
      </c>
      <c r="T62" s="232">
        <f>G58*T36</f>
        <v>1732.22</v>
      </c>
      <c r="U62" s="536">
        <f t="shared" si="30"/>
        <v>18875</v>
      </c>
      <c r="V62" s="232">
        <f>G58*V36</f>
        <v>2324.66</v>
      </c>
      <c r="W62" s="232">
        <f>G58*W36</f>
        <v>1857.16</v>
      </c>
      <c r="X62" s="232">
        <f>G58*X36</f>
        <v>1857.16</v>
      </c>
      <c r="Y62" s="232">
        <f>G58*Y36</f>
        <v>1898.7</v>
      </c>
      <c r="Z62" s="232">
        <f>G58*Z36</f>
        <v>1893.7</v>
      </c>
      <c r="AA62" s="232">
        <f>G58*AA36</f>
        <v>1829.2</v>
      </c>
      <c r="AB62" s="232">
        <f>G58*AB36</f>
        <v>1916.6200000000001</v>
      </c>
      <c r="AC62" s="232">
        <f>G58*AC36</f>
        <v>1999.38</v>
      </c>
      <c r="AD62" s="232">
        <f>G58*AD36</f>
        <v>1994.1200000000001</v>
      </c>
      <c r="AE62" s="232">
        <f>G58*AE36</f>
        <v>2020.92</v>
      </c>
      <c r="AF62" s="232">
        <f>G58*AF36</f>
        <v>2031.68</v>
      </c>
      <c r="AG62" s="232">
        <f>G58*AG36</f>
        <v>2080.98</v>
      </c>
      <c r="AH62" s="536">
        <f t="shared" si="31"/>
        <v>23704</v>
      </c>
      <c r="AI62" s="232">
        <f>G58*AI36</f>
        <v>2719.5</v>
      </c>
      <c r="AJ62" s="232">
        <f>G58*AJ36</f>
        <v>2194.5</v>
      </c>
      <c r="AK62" s="232">
        <f>G58*AK36</f>
        <v>2194.5</v>
      </c>
      <c r="AL62" s="232">
        <f>G58*AL36</f>
        <v>2207.76</v>
      </c>
      <c r="AM62" s="232">
        <f>G58*AM36</f>
        <v>2205.26</v>
      </c>
      <c r="AN62" s="232">
        <f>G58*AN36</f>
        <v>2130</v>
      </c>
      <c r="AO62" s="232">
        <f>G58*AO36</f>
        <v>2136.8</v>
      </c>
      <c r="AP62" s="232">
        <f>G58*AP36</f>
        <v>2240.3</v>
      </c>
      <c r="AQ62" s="232">
        <f>G58*AQ36</f>
        <v>2232.56</v>
      </c>
      <c r="AR62" s="232">
        <f>G58*AR36</f>
        <v>2231.06</v>
      </c>
      <c r="AS62" s="232">
        <f>G58*AS36</f>
        <v>2244.3</v>
      </c>
      <c r="AT62" s="232">
        <f>G58*AT36</f>
        <v>2242.8</v>
      </c>
      <c r="AU62" s="268">
        <f t="shared" si="35"/>
        <v>26979.34</v>
      </c>
      <c r="AV62" s="95" t="s">
        <v>53</v>
      </c>
      <c r="AW62" s="95"/>
      <c r="AX62" s="177"/>
      <c r="AY62" s="177"/>
    </row>
    <row r="63" spans="1:51" s="103" customFormat="1" ht="13.5">
      <c r="A63" s="202" t="s">
        <v>154</v>
      </c>
      <c r="B63" s="286"/>
      <c r="C63" s="286"/>
      <c r="D63" s="286"/>
      <c r="E63" s="286"/>
      <c r="F63" s="286"/>
      <c r="G63" s="286">
        <v>0</v>
      </c>
      <c r="H63" s="550">
        <f t="shared" si="29"/>
        <v>0</v>
      </c>
      <c r="I63" s="287">
        <v>3000</v>
      </c>
      <c r="J63" s="540">
        <v>0</v>
      </c>
      <c r="K63" s="286">
        <v>0</v>
      </c>
      <c r="L63" s="286">
        <v>0</v>
      </c>
      <c r="M63" s="286">
        <f aca="true" t="shared" si="40" ref="M63:T63">L63</f>
        <v>0</v>
      </c>
      <c r="N63" s="286">
        <f t="shared" si="40"/>
        <v>0</v>
      </c>
      <c r="O63" s="286">
        <f t="shared" si="40"/>
        <v>0</v>
      </c>
      <c r="P63" s="286">
        <f t="shared" si="40"/>
        <v>0</v>
      </c>
      <c r="Q63" s="286">
        <f t="shared" si="40"/>
        <v>0</v>
      </c>
      <c r="R63" s="286">
        <f t="shared" si="40"/>
        <v>0</v>
      </c>
      <c r="S63" s="286">
        <f t="shared" si="40"/>
        <v>0</v>
      </c>
      <c r="T63" s="286">
        <f t="shared" si="40"/>
        <v>0</v>
      </c>
      <c r="U63" s="536">
        <f t="shared" si="30"/>
        <v>3000</v>
      </c>
      <c r="V63" s="286">
        <f>T63</f>
        <v>0</v>
      </c>
      <c r="W63" s="286">
        <f aca="true" t="shared" si="41" ref="W63:AG63">V63</f>
        <v>0</v>
      </c>
      <c r="X63" s="286">
        <f t="shared" si="41"/>
        <v>0</v>
      </c>
      <c r="Y63" s="286">
        <f t="shared" si="41"/>
        <v>0</v>
      </c>
      <c r="Z63" s="286">
        <f t="shared" si="41"/>
        <v>0</v>
      </c>
      <c r="AA63" s="286">
        <f t="shared" si="41"/>
        <v>0</v>
      </c>
      <c r="AB63" s="286">
        <f t="shared" si="41"/>
        <v>0</v>
      </c>
      <c r="AC63" s="286">
        <f t="shared" si="41"/>
        <v>0</v>
      </c>
      <c r="AD63" s="286">
        <f t="shared" si="41"/>
        <v>0</v>
      </c>
      <c r="AE63" s="286">
        <f t="shared" si="41"/>
        <v>0</v>
      </c>
      <c r="AF63" s="286">
        <f t="shared" si="41"/>
        <v>0</v>
      </c>
      <c r="AG63" s="286">
        <f t="shared" si="41"/>
        <v>0</v>
      </c>
      <c r="AH63" s="536">
        <f t="shared" si="31"/>
        <v>0</v>
      </c>
      <c r="AI63" s="286">
        <f>AG63</f>
        <v>0</v>
      </c>
      <c r="AJ63" s="286">
        <f aca="true" t="shared" si="42" ref="AJ63:AT63">AI63</f>
        <v>0</v>
      </c>
      <c r="AK63" s="286">
        <f t="shared" si="42"/>
        <v>0</v>
      </c>
      <c r="AL63" s="286">
        <f t="shared" si="42"/>
        <v>0</v>
      </c>
      <c r="AM63" s="286">
        <f t="shared" si="42"/>
        <v>0</v>
      </c>
      <c r="AN63" s="286">
        <f t="shared" si="42"/>
        <v>0</v>
      </c>
      <c r="AO63" s="286">
        <f t="shared" si="42"/>
        <v>0</v>
      </c>
      <c r="AP63" s="286">
        <f t="shared" si="42"/>
        <v>0</v>
      </c>
      <c r="AQ63" s="286">
        <f t="shared" si="42"/>
        <v>0</v>
      </c>
      <c r="AR63" s="286">
        <f t="shared" si="42"/>
        <v>0</v>
      </c>
      <c r="AS63" s="286">
        <f t="shared" si="42"/>
        <v>0</v>
      </c>
      <c r="AT63" s="286">
        <f t="shared" si="42"/>
        <v>0</v>
      </c>
      <c r="AU63" s="272">
        <f>SUM(AI63:AT63)</f>
        <v>0</v>
      </c>
      <c r="AV63" s="95" t="s">
        <v>154</v>
      </c>
      <c r="AW63" s="95"/>
      <c r="AX63" s="177"/>
      <c r="AY63" s="177"/>
    </row>
    <row r="64" spans="1:51" ht="13.5">
      <c r="A64" s="202" t="s">
        <v>128</v>
      </c>
      <c r="B64" s="201"/>
      <c r="C64" s="201"/>
      <c r="D64" s="201"/>
      <c r="E64" s="201"/>
      <c r="F64" s="201"/>
      <c r="G64" s="201">
        <v>0</v>
      </c>
      <c r="H64" s="550">
        <f t="shared" si="29"/>
        <v>0</v>
      </c>
      <c r="I64" s="236">
        <v>0</v>
      </c>
      <c r="J64" s="235">
        <v>0</v>
      </c>
      <c r="K64" s="201">
        <v>0</v>
      </c>
      <c r="L64" s="201">
        <v>0</v>
      </c>
      <c r="M64" s="201">
        <f aca="true" t="shared" si="43" ref="M64:T64">L64</f>
        <v>0</v>
      </c>
      <c r="N64" s="201">
        <f t="shared" si="43"/>
        <v>0</v>
      </c>
      <c r="O64" s="201">
        <f t="shared" si="43"/>
        <v>0</v>
      </c>
      <c r="P64" s="201">
        <f t="shared" si="43"/>
        <v>0</v>
      </c>
      <c r="Q64" s="201">
        <f t="shared" si="43"/>
        <v>0</v>
      </c>
      <c r="R64" s="201">
        <f t="shared" si="43"/>
        <v>0</v>
      </c>
      <c r="S64" s="201">
        <f t="shared" si="43"/>
        <v>0</v>
      </c>
      <c r="T64" s="201">
        <f t="shared" si="43"/>
        <v>0</v>
      </c>
      <c r="U64" s="536">
        <f t="shared" si="30"/>
        <v>0</v>
      </c>
      <c r="V64" s="201">
        <v>416</v>
      </c>
      <c r="W64" s="201">
        <v>416</v>
      </c>
      <c r="X64" s="201">
        <v>416</v>
      </c>
      <c r="Y64" s="201">
        <v>416</v>
      </c>
      <c r="Z64" s="201">
        <v>416</v>
      </c>
      <c r="AA64" s="201">
        <v>416</v>
      </c>
      <c r="AB64" s="201">
        <v>416</v>
      </c>
      <c r="AC64" s="201">
        <v>416</v>
      </c>
      <c r="AD64" s="201">
        <v>420</v>
      </c>
      <c r="AE64" s="201">
        <v>420</v>
      </c>
      <c r="AF64" s="201">
        <v>416</v>
      </c>
      <c r="AG64" s="201">
        <v>416</v>
      </c>
      <c r="AH64" s="536">
        <f t="shared" si="31"/>
        <v>5000</v>
      </c>
      <c r="AI64" s="201">
        <v>583</v>
      </c>
      <c r="AJ64" s="201">
        <v>583</v>
      </c>
      <c r="AK64" s="201">
        <v>583</v>
      </c>
      <c r="AL64" s="201">
        <v>583</v>
      </c>
      <c r="AM64" s="201">
        <v>583</v>
      </c>
      <c r="AN64" s="201">
        <v>583</v>
      </c>
      <c r="AO64" s="201">
        <v>583</v>
      </c>
      <c r="AP64" s="201">
        <v>583</v>
      </c>
      <c r="AQ64" s="201">
        <v>583</v>
      </c>
      <c r="AR64" s="201">
        <v>583</v>
      </c>
      <c r="AS64" s="201">
        <v>583</v>
      </c>
      <c r="AT64" s="201">
        <v>587</v>
      </c>
      <c r="AU64" s="268">
        <f t="shared" si="35"/>
        <v>7000</v>
      </c>
      <c r="AV64" s="95" t="s">
        <v>128</v>
      </c>
      <c r="AW64" s="95"/>
      <c r="AX64" s="177"/>
      <c r="AY64" s="177"/>
    </row>
    <row r="65" spans="1:51" ht="13.5">
      <c r="A65" s="241" t="s">
        <v>199</v>
      </c>
      <c r="B65" s="201"/>
      <c r="C65" s="201"/>
      <c r="D65" s="201"/>
      <c r="E65" s="201"/>
      <c r="F65" s="201">
        <v>0</v>
      </c>
      <c r="G65" s="201">
        <v>0</v>
      </c>
      <c r="H65" s="550">
        <f t="shared" si="29"/>
        <v>0</v>
      </c>
      <c r="I65" s="233">
        <f>M58*I36</f>
        <v>1371.45</v>
      </c>
      <c r="J65" s="232">
        <f>M58*J36</f>
        <v>1093.95</v>
      </c>
      <c r="K65" s="232">
        <f>M58*K36</f>
        <v>1093.95</v>
      </c>
      <c r="L65" s="232">
        <f>M58*L36</f>
        <v>1125.12</v>
      </c>
      <c r="M65" s="232">
        <f>M58*M36</f>
        <v>1121.37</v>
      </c>
      <c r="N65" s="232">
        <f>M58*N36</f>
        <v>1072.995</v>
      </c>
      <c r="O65" s="232">
        <f>M58*O36</f>
        <v>1138.56</v>
      </c>
      <c r="P65" s="232">
        <f>M58*P36</f>
        <v>1200.615</v>
      </c>
      <c r="Q65" s="232">
        <f>M58*Q36</f>
        <v>1197.435</v>
      </c>
      <c r="R65" s="232">
        <f>M58*R36</f>
        <v>1216.7849999999999</v>
      </c>
      <c r="S65" s="232">
        <f>M58*S36</f>
        <v>1224.84</v>
      </c>
      <c r="T65" s="232">
        <f>M58*T36</f>
        <v>1299.165</v>
      </c>
      <c r="U65" s="536">
        <f t="shared" si="30"/>
        <v>14156</v>
      </c>
      <c r="V65" s="232">
        <f>M58*V36</f>
        <v>1743.495</v>
      </c>
      <c r="W65" s="232">
        <f>M58*W36</f>
        <v>1392.87</v>
      </c>
      <c r="X65" s="232">
        <f>M58*X36</f>
        <v>1392.87</v>
      </c>
      <c r="Y65" s="232">
        <f>M58*Y36</f>
        <v>1424.0249999999999</v>
      </c>
      <c r="Z65" s="232">
        <f>M58*Z36</f>
        <v>1420.2749999999999</v>
      </c>
      <c r="AA65" s="232">
        <f>M58*AA36</f>
        <v>1371.8999999999999</v>
      </c>
      <c r="AB65" s="232">
        <f>M58*AB36</f>
        <v>1437.465</v>
      </c>
      <c r="AC65" s="232">
        <f>M58*AC36</f>
        <v>1499.5349999999999</v>
      </c>
      <c r="AD65" s="232">
        <f>M58*AD36</f>
        <v>1495.59</v>
      </c>
      <c r="AE65" s="232">
        <f>M58*AE36</f>
        <v>1515.69</v>
      </c>
      <c r="AF65" s="232">
        <f>M58*AF36</f>
        <v>1523.76</v>
      </c>
      <c r="AG65" s="232">
        <f>M58*AG36</f>
        <v>1560.735</v>
      </c>
      <c r="AH65" s="536">
        <f t="shared" si="31"/>
        <v>17778</v>
      </c>
      <c r="AI65" s="232">
        <f>M58*AI36</f>
        <v>2039.625</v>
      </c>
      <c r="AJ65" s="232">
        <f>M58*AJ36</f>
        <v>1645.875</v>
      </c>
      <c r="AK65" s="232">
        <f>M58*AK36</f>
        <v>1645.875</v>
      </c>
      <c r="AL65" s="232">
        <f>M58*AL36</f>
        <v>1655.82</v>
      </c>
      <c r="AM65" s="232">
        <f>M58*AM36</f>
        <v>1653.945</v>
      </c>
      <c r="AN65" s="232">
        <f>M58*AN36</f>
        <v>1597.5</v>
      </c>
      <c r="AO65" s="232">
        <f>M58*AO36</f>
        <v>1602.6</v>
      </c>
      <c r="AP65" s="232">
        <f>M58*AP36</f>
        <v>1680.225</v>
      </c>
      <c r="AQ65" s="232">
        <f>M58*AQ36</f>
        <v>1674.4199999999998</v>
      </c>
      <c r="AR65" s="232">
        <f>M58*AR36</f>
        <v>1673.2949999999998</v>
      </c>
      <c r="AS65" s="232">
        <f>M58*AS36</f>
        <v>1683.225</v>
      </c>
      <c r="AT65" s="232">
        <f>M58*AT36</f>
        <v>1682.1</v>
      </c>
      <c r="AU65" s="268">
        <f t="shared" si="35"/>
        <v>20234.504999999997</v>
      </c>
      <c r="AV65" s="95" t="s">
        <v>54</v>
      </c>
      <c r="AW65" s="95"/>
      <c r="AX65" s="177"/>
      <c r="AY65" s="177"/>
    </row>
    <row r="66" spans="1:51" ht="13.5">
      <c r="A66" s="202" t="s">
        <v>55</v>
      </c>
      <c r="B66" s="201"/>
      <c r="C66" s="201"/>
      <c r="D66" s="201"/>
      <c r="E66" s="201"/>
      <c r="F66" s="201">
        <f>B66</f>
        <v>0</v>
      </c>
      <c r="G66" s="201">
        <v>0</v>
      </c>
      <c r="H66" s="550">
        <f t="shared" si="29"/>
        <v>0</v>
      </c>
      <c r="I66" s="236">
        <v>500</v>
      </c>
      <c r="J66" s="235">
        <v>500</v>
      </c>
      <c r="K66" s="201">
        <f aca="true" t="shared" si="44" ref="K66:T66">J66</f>
        <v>500</v>
      </c>
      <c r="L66" s="201">
        <f t="shared" si="44"/>
        <v>500</v>
      </c>
      <c r="M66" s="201">
        <f t="shared" si="44"/>
        <v>500</v>
      </c>
      <c r="N66" s="201">
        <f t="shared" si="44"/>
        <v>500</v>
      </c>
      <c r="O66" s="201">
        <f t="shared" si="44"/>
        <v>500</v>
      </c>
      <c r="P66" s="201">
        <f t="shared" si="44"/>
        <v>500</v>
      </c>
      <c r="Q66" s="201">
        <f t="shared" si="44"/>
        <v>500</v>
      </c>
      <c r="R66" s="201">
        <f t="shared" si="44"/>
        <v>500</v>
      </c>
      <c r="S66" s="201">
        <f t="shared" si="44"/>
        <v>500</v>
      </c>
      <c r="T66" s="201">
        <f t="shared" si="44"/>
        <v>500</v>
      </c>
      <c r="U66" s="536">
        <f t="shared" si="30"/>
        <v>6000</v>
      </c>
      <c r="V66" s="201">
        <f t="shared" si="37"/>
        <v>500</v>
      </c>
      <c r="W66" s="201">
        <f aca="true" t="shared" si="45" ref="W66:AG66">V66</f>
        <v>500</v>
      </c>
      <c r="X66" s="201">
        <f t="shared" si="45"/>
        <v>500</v>
      </c>
      <c r="Y66" s="201">
        <f t="shared" si="45"/>
        <v>500</v>
      </c>
      <c r="Z66" s="201">
        <f t="shared" si="45"/>
        <v>500</v>
      </c>
      <c r="AA66" s="201">
        <f t="shared" si="45"/>
        <v>500</v>
      </c>
      <c r="AB66" s="201">
        <f t="shared" si="45"/>
        <v>500</v>
      </c>
      <c r="AC66" s="201">
        <f t="shared" si="45"/>
        <v>500</v>
      </c>
      <c r="AD66" s="201">
        <f t="shared" si="45"/>
        <v>500</v>
      </c>
      <c r="AE66" s="201">
        <f t="shared" si="45"/>
        <v>500</v>
      </c>
      <c r="AF66" s="201">
        <f t="shared" si="45"/>
        <v>500</v>
      </c>
      <c r="AG66" s="201">
        <f t="shared" si="45"/>
        <v>500</v>
      </c>
      <c r="AH66" s="536">
        <f t="shared" si="31"/>
        <v>6000</v>
      </c>
      <c r="AI66" s="201">
        <f>AG66</f>
        <v>500</v>
      </c>
      <c r="AJ66" s="201">
        <f aca="true" t="shared" si="46" ref="AJ66:AT66">AI66</f>
        <v>500</v>
      </c>
      <c r="AK66" s="201">
        <f t="shared" si="46"/>
        <v>500</v>
      </c>
      <c r="AL66" s="201">
        <f t="shared" si="46"/>
        <v>500</v>
      </c>
      <c r="AM66" s="201">
        <f t="shared" si="46"/>
        <v>500</v>
      </c>
      <c r="AN66" s="201">
        <f t="shared" si="46"/>
        <v>500</v>
      </c>
      <c r="AO66" s="201">
        <f t="shared" si="46"/>
        <v>500</v>
      </c>
      <c r="AP66" s="201">
        <f t="shared" si="46"/>
        <v>500</v>
      </c>
      <c r="AQ66" s="201">
        <f t="shared" si="46"/>
        <v>500</v>
      </c>
      <c r="AR66" s="201">
        <f t="shared" si="46"/>
        <v>500</v>
      </c>
      <c r="AS66" s="201">
        <f t="shared" si="46"/>
        <v>500</v>
      </c>
      <c r="AT66" s="201">
        <f t="shared" si="46"/>
        <v>500</v>
      </c>
      <c r="AU66" s="268">
        <f t="shared" si="35"/>
        <v>6000</v>
      </c>
      <c r="AV66" s="95" t="s">
        <v>55</v>
      </c>
      <c r="AW66" s="95"/>
      <c r="AX66" s="177"/>
      <c r="AY66" s="177"/>
    </row>
    <row r="67" spans="1:51" ht="15" thickBot="1">
      <c r="A67" s="305" t="s">
        <v>339</v>
      </c>
      <c r="B67" s="201"/>
      <c r="C67" s="201"/>
      <c r="D67" s="201"/>
      <c r="E67" s="201"/>
      <c r="F67" s="201">
        <f>B67</f>
        <v>0</v>
      </c>
      <c r="G67" s="201">
        <v>0</v>
      </c>
      <c r="H67" s="550">
        <f t="shared" si="29"/>
        <v>0</v>
      </c>
      <c r="I67" s="236">
        <v>0</v>
      </c>
      <c r="J67" s="235">
        <v>0</v>
      </c>
      <c r="K67" s="201">
        <v>0</v>
      </c>
      <c r="L67" s="201">
        <f aca="true" t="shared" si="47" ref="L67:T67">K67</f>
        <v>0</v>
      </c>
      <c r="M67" s="201">
        <f t="shared" si="47"/>
        <v>0</v>
      </c>
      <c r="N67" s="201">
        <f t="shared" si="47"/>
        <v>0</v>
      </c>
      <c r="O67" s="201">
        <f t="shared" si="47"/>
        <v>0</v>
      </c>
      <c r="P67" s="201">
        <f t="shared" si="47"/>
        <v>0</v>
      </c>
      <c r="Q67" s="201">
        <f t="shared" si="47"/>
        <v>0</v>
      </c>
      <c r="R67" s="201">
        <f t="shared" si="47"/>
        <v>0</v>
      </c>
      <c r="S67" s="201">
        <f t="shared" si="47"/>
        <v>0</v>
      </c>
      <c r="T67" s="201">
        <f t="shared" si="47"/>
        <v>0</v>
      </c>
      <c r="U67" s="536">
        <f t="shared" si="30"/>
        <v>0</v>
      </c>
      <c r="V67" s="201">
        <f t="shared" si="37"/>
        <v>0</v>
      </c>
      <c r="W67" s="201">
        <f aca="true" t="shared" si="48" ref="W67:AG67">V67</f>
        <v>0</v>
      </c>
      <c r="X67" s="201">
        <f t="shared" si="48"/>
        <v>0</v>
      </c>
      <c r="Y67" s="201">
        <f t="shared" si="48"/>
        <v>0</v>
      </c>
      <c r="Z67" s="201">
        <f t="shared" si="48"/>
        <v>0</v>
      </c>
      <c r="AA67" s="201">
        <f t="shared" si="48"/>
        <v>0</v>
      </c>
      <c r="AB67" s="201">
        <f t="shared" si="48"/>
        <v>0</v>
      </c>
      <c r="AC67" s="201">
        <f t="shared" si="48"/>
        <v>0</v>
      </c>
      <c r="AD67" s="201">
        <f t="shared" si="48"/>
        <v>0</v>
      </c>
      <c r="AE67" s="201">
        <f t="shared" si="48"/>
        <v>0</v>
      </c>
      <c r="AF67" s="201">
        <f t="shared" si="48"/>
        <v>0</v>
      </c>
      <c r="AG67" s="201">
        <f t="shared" si="48"/>
        <v>0</v>
      </c>
      <c r="AH67" s="536">
        <f t="shared" si="31"/>
        <v>0</v>
      </c>
      <c r="AI67" s="201">
        <f>AG67</f>
        <v>0</v>
      </c>
      <c r="AJ67" s="201">
        <f aca="true" t="shared" si="49" ref="AJ67:AT67">AI67</f>
        <v>0</v>
      </c>
      <c r="AK67" s="201">
        <f t="shared" si="49"/>
        <v>0</v>
      </c>
      <c r="AL67" s="201">
        <f t="shared" si="49"/>
        <v>0</v>
      </c>
      <c r="AM67" s="201">
        <f t="shared" si="49"/>
        <v>0</v>
      </c>
      <c r="AN67" s="201">
        <f t="shared" si="49"/>
        <v>0</v>
      </c>
      <c r="AO67" s="201">
        <f t="shared" si="49"/>
        <v>0</v>
      </c>
      <c r="AP67" s="201">
        <f t="shared" si="49"/>
        <v>0</v>
      </c>
      <c r="AQ67" s="201">
        <f t="shared" si="49"/>
        <v>0</v>
      </c>
      <c r="AR67" s="201">
        <f t="shared" si="49"/>
        <v>0</v>
      </c>
      <c r="AS67" s="201">
        <f t="shared" si="49"/>
        <v>0</v>
      </c>
      <c r="AT67" s="201">
        <f t="shared" si="49"/>
        <v>0</v>
      </c>
      <c r="AU67" s="268">
        <f t="shared" si="35"/>
        <v>0</v>
      </c>
      <c r="AV67" s="95" t="s">
        <v>56</v>
      </c>
      <c r="AW67" s="95"/>
      <c r="AX67" s="177"/>
      <c r="AY67" s="177"/>
    </row>
    <row r="68" spans="1:51" ht="18">
      <c r="A68" s="294" t="s">
        <v>57</v>
      </c>
      <c r="B68" s="68"/>
      <c r="C68" s="68"/>
      <c r="D68" s="68"/>
      <c r="E68" s="68"/>
      <c r="F68" s="68"/>
      <c r="G68" s="68"/>
      <c r="H68" s="142"/>
      <c r="J68" s="153"/>
      <c r="K68" s="68"/>
      <c r="L68" s="68"/>
      <c r="M68" s="68"/>
      <c r="N68" s="68"/>
      <c r="O68" s="68"/>
      <c r="P68" s="68"/>
      <c r="Q68" s="68"/>
      <c r="R68" s="68"/>
      <c r="S68" s="68"/>
      <c r="T68" s="78"/>
      <c r="U68" s="268"/>
      <c r="V68" s="68"/>
      <c r="W68" s="68"/>
      <c r="X68" s="68"/>
      <c r="Y68" s="68"/>
      <c r="Z68" s="68"/>
      <c r="AA68" s="68"/>
      <c r="AB68" s="68"/>
      <c r="AC68" s="68"/>
      <c r="AD68" s="68"/>
      <c r="AE68" s="68"/>
      <c r="AF68" s="68"/>
      <c r="AG68" s="68"/>
      <c r="AH68" s="268"/>
      <c r="AI68" s="68"/>
      <c r="AJ68" s="68"/>
      <c r="AK68" s="68"/>
      <c r="AL68" s="68"/>
      <c r="AM68" s="68"/>
      <c r="AN68" s="68"/>
      <c r="AO68" s="68"/>
      <c r="AP68" s="68"/>
      <c r="AQ68" s="68"/>
      <c r="AR68" s="68"/>
      <c r="AS68" s="68"/>
      <c r="AT68" s="68"/>
      <c r="AU68" s="68"/>
      <c r="AV68" s="401" t="s">
        <v>57</v>
      </c>
      <c r="AW68" s="400"/>
      <c r="AX68" s="400"/>
      <c r="AY68" s="400"/>
    </row>
    <row r="69" spans="1:51" ht="13.5">
      <c r="A69" s="202" t="s">
        <v>58</v>
      </c>
      <c r="B69" s="201"/>
      <c r="C69" s="201"/>
      <c r="D69" s="201"/>
      <c r="E69" s="201">
        <v>0</v>
      </c>
      <c r="F69" s="201">
        <f>B69</f>
        <v>0</v>
      </c>
      <c r="G69" s="201">
        <f aca="true" t="shared" si="50" ref="G69:T69">F69</f>
        <v>0</v>
      </c>
      <c r="H69" s="550">
        <f>ROUND(SUM(B69:G69),0)</f>
        <v>0</v>
      </c>
      <c r="I69" s="236">
        <f>G69</f>
        <v>0</v>
      </c>
      <c r="J69" s="235">
        <f t="shared" si="50"/>
        <v>0</v>
      </c>
      <c r="K69" s="201">
        <f t="shared" si="50"/>
        <v>0</v>
      </c>
      <c r="L69" s="201">
        <f t="shared" si="50"/>
        <v>0</v>
      </c>
      <c r="M69" s="201">
        <f t="shared" si="50"/>
        <v>0</v>
      </c>
      <c r="N69" s="201">
        <f t="shared" si="50"/>
        <v>0</v>
      </c>
      <c r="O69" s="201">
        <f t="shared" si="50"/>
        <v>0</v>
      </c>
      <c r="P69" s="201">
        <f t="shared" si="50"/>
        <v>0</v>
      </c>
      <c r="Q69" s="201">
        <f t="shared" si="50"/>
        <v>0</v>
      </c>
      <c r="R69" s="201">
        <f t="shared" si="50"/>
        <v>0</v>
      </c>
      <c r="S69" s="201">
        <f t="shared" si="50"/>
        <v>0</v>
      </c>
      <c r="T69" s="201">
        <f t="shared" si="50"/>
        <v>0</v>
      </c>
      <c r="U69" s="536">
        <f>ROUND(SUM(I69:T69),0)</f>
        <v>0</v>
      </c>
      <c r="V69" s="201">
        <f>T69</f>
        <v>0</v>
      </c>
      <c r="W69" s="201">
        <f aca="true" t="shared" si="51" ref="W69:AG69">V69</f>
        <v>0</v>
      </c>
      <c r="X69" s="201">
        <f t="shared" si="51"/>
        <v>0</v>
      </c>
      <c r="Y69" s="201">
        <f t="shared" si="51"/>
        <v>0</v>
      </c>
      <c r="Z69" s="201">
        <f t="shared" si="51"/>
        <v>0</v>
      </c>
      <c r="AA69" s="201">
        <f t="shared" si="51"/>
        <v>0</v>
      </c>
      <c r="AB69" s="201">
        <f t="shared" si="51"/>
        <v>0</v>
      </c>
      <c r="AC69" s="201">
        <f t="shared" si="51"/>
        <v>0</v>
      </c>
      <c r="AD69" s="201">
        <f t="shared" si="51"/>
        <v>0</v>
      </c>
      <c r="AE69" s="201">
        <f t="shared" si="51"/>
        <v>0</v>
      </c>
      <c r="AF69" s="201">
        <f t="shared" si="51"/>
        <v>0</v>
      </c>
      <c r="AG69" s="201">
        <f t="shared" si="51"/>
        <v>0</v>
      </c>
      <c r="AH69" s="536">
        <f>ROUND(SUM(V69:AG69),0)</f>
        <v>0</v>
      </c>
      <c r="AI69" s="201">
        <f>AG69</f>
        <v>0</v>
      </c>
      <c r="AJ69" s="201">
        <f aca="true" t="shared" si="52" ref="AJ69:AT69">AI69</f>
        <v>0</v>
      </c>
      <c r="AK69" s="201">
        <f t="shared" si="52"/>
        <v>0</v>
      </c>
      <c r="AL69" s="201">
        <f t="shared" si="52"/>
        <v>0</v>
      </c>
      <c r="AM69" s="201">
        <f t="shared" si="52"/>
        <v>0</v>
      </c>
      <c r="AN69" s="201">
        <f t="shared" si="52"/>
        <v>0</v>
      </c>
      <c r="AO69" s="201">
        <f t="shared" si="52"/>
        <v>0</v>
      </c>
      <c r="AP69" s="201">
        <f t="shared" si="52"/>
        <v>0</v>
      </c>
      <c r="AQ69" s="201">
        <f t="shared" si="52"/>
        <v>0</v>
      </c>
      <c r="AR69" s="201">
        <f t="shared" si="52"/>
        <v>0</v>
      </c>
      <c r="AS69" s="201">
        <f t="shared" si="52"/>
        <v>0</v>
      </c>
      <c r="AT69" s="201">
        <f t="shared" si="52"/>
        <v>0</v>
      </c>
      <c r="AU69" s="268">
        <f aca="true" t="shared" si="53" ref="AU69:AU77">SUM(AI69:AT69)</f>
        <v>0</v>
      </c>
      <c r="AV69" s="95" t="s">
        <v>58</v>
      </c>
      <c r="AW69" s="95"/>
      <c r="AX69" s="177"/>
      <c r="AY69" s="177"/>
    </row>
    <row r="70" spans="1:51" ht="13.5">
      <c r="A70" s="202" t="s">
        <v>59</v>
      </c>
      <c r="B70" s="201"/>
      <c r="C70" s="201"/>
      <c r="D70" s="201"/>
      <c r="E70" s="201">
        <v>0</v>
      </c>
      <c r="F70" s="201">
        <f>B70</f>
        <v>0</v>
      </c>
      <c r="G70" s="201">
        <f aca="true" t="shared" si="54" ref="G70:T71">F70</f>
        <v>0</v>
      </c>
      <c r="H70" s="550">
        <f>ROUND(SUM(B70:G70),0)</f>
        <v>0</v>
      </c>
      <c r="I70" s="236">
        <f>G70</f>
        <v>0</v>
      </c>
      <c r="J70" s="235">
        <f t="shared" si="54"/>
        <v>0</v>
      </c>
      <c r="K70" s="201">
        <f t="shared" si="54"/>
        <v>0</v>
      </c>
      <c r="L70" s="201">
        <f t="shared" si="54"/>
        <v>0</v>
      </c>
      <c r="M70" s="201">
        <f t="shared" si="54"/>
        <v>0</v>
      </c>
      <c r="N70" s="201">
        <f t="shared" si="54"/>
        <v>0</v>
      </c>
      <c r="O70" s="201">
        <f t="shared" si="54"/>
        <v>0</v>
      </c>
      <c r="P70" s="201">
        <f t="shared" si="54"/>
        <v>0</v>
      </c>
      <c r="Q70" s="201">
        <f t="shared" si="54"/>
        <v>0</v>
      </c>
      <c r="R70" s="201">
        <f t="shared" si="54"/>
        <v>0</v>
      </c>
      <c r="S70" s="201">
        <f t="shared" si="54"/>
        <v>0</v>
      </c>
      <c r="T70" s="201">
        <f t="shared" si="54"/>
        <v>0</v>
      </c>
      <c r="U70" s="536">
        <f>ROUND(SUM(I70:T70),0)</f>
        <v>0</v>
      </c>
      <c r="V70" s="201">
        <f>T70</f>
        <v>0</v>
      </c>
      <c r="W70" s="201">
        <f aca="true" t="shared" si="55" ref="W70:AG71">V70</f>
        <v>0</v>
      </c>
      <c r="X70" s="201">
        <f t="shared" si="55"/>
        <v>0</v>
      </c>
      <c r="Y70" s="201">
        <f t="shared" si="55"/>
        <v>0</v>
      </c>
      <c r="Z70" s="201">
        <f t="shared" si="55"/>
        <v>0</v>
      </c>
      <c r="AA70" s="201">
        <f t="shared" si="55"/>
        <v>0</v>
      </c>
      <c r="AB70" s="201">
        <f t="shared" si="55"/>
        <v>0</v>
      </c>
      <c r="AC70" s="201">
        <f t="shared" si="55"/>
        <v>0</v>
      </c>
      <c r="AD70" s="201">
        <f t="shared" si="55"/>
        <v>0</v>
      </c>
      <c r="AE70" s="201">
        <f t="shared" si="55"/>
        <v>0</v>
      </c>
      <c r="AF70" s="201">
        <f t="shared" si="55"/>
        <v>0</v>
      </c>
      <c r="AG70" s="201">
        <f t="shared" si="55"/>
        <v>0</v>
      </c>
      <c r="AH70" s="536">
        <f>ROUND(SUM(V70:AG70),0)</f>
        <v>0</v>
      </c>
      <c r="AI70" s="201">
        <f>AG70</f>
        <v>0</v>
      </c>
      <c r="AJ70" s="201">
        <f aca="true" t="shared" si="56" ref="AJ70:AT70">AI70</f>
        <v>0</v>
      </c>
      <c r="AK70" s="201">
        <f t="shared" si="56"/>
        <v>0</v>
      </c>
      <c r="AL70" s="201">
        <f t="shared" si="56"/>
        <v>0</v>
      </c>
      <c r="AM70" s="201">
        <f t="shared" si="56"/>
        <v>0</v>
      </c>
      <c r="AN70" s="201">
        <f t="shared" si="56"/>
        <v>0</v>
      </c>
      <c r="AO70" s="201">
        <f t="shared" si="56"/>
        <v>0</v>
      </c>
      <c r="AP70" s="201">
        <f t="shared" si="56"/>
        <v>0</v>
      </c>
      <c r="AQ70" s="201">
        <f t="shared" si="56"/>
        <v>0</v>
      </c>
      <c r="AR70" s="201">
        <f t="shared" si="56"/>
        <v>0</v>
      </c>
      <c r="AS70" s="201">
        <f t="shared" si="56"/>
        <v>0</v>
      </c>
      <c r="AT70" s="201">
        <f t="shared" si="56"/>
        <v>0</v>
      </c>
      <c r="AU70" s="268">
        <f t="shared" si="53"/>
        <v>0</v>
      </c>
      <c r="AV70" s="95" t="s">
        <v>59</v>
      </c>
      <c r="AW70" s="95"/>
      <c r="AX70" s="177"/>
      <c r="AY70" s="177"/>
    </row>
    <row r="71" spans="1:51" ht="13.5">
      <c r="A71" s="241" t="s">
        <v>195</v>
      </c>
      <c r="B71" s="201"/>
      <c r="C71" s="201"/>
      <c r="D71" s="201"/>
      <c r="E71" s="201">
        <v>0</v>
      </c>
      <c r="F71" s="201">
        <f>B71</f>
        <v>0</v>
      </c>
      <c r="G71" s="201">
        <f t="shared" si="54"/>
        <v>0</v>
      </c>
      <c r="H71" s="550">
        <f>ROUND(SUM(B71:G71),0)</f>
        <v>0</v>
      </c>
      <c r="I71" s="236">
        <f>G71</f>
        <v>0</v>
      </c>
      <c r="J71" s="235">
        <f t="shared" si="54"/>
        <v>0</v>
      </c>
      <c r="K71" s="201">
        <f t="shared" si="54"/>
        <v>0</v>
      </c>
      <c r="L71" s="201">
        <f t="shared" si="54"/>
        <v>0</v>
      </c>
      <c r="M71" s="201">
        <f t="shared" si="54"/>
        <v>0</v>
      </c>
      <c r="N71" s="201">
        <f t="shared" si="54"/>
        <v>0</v>
      </c>
      <c r="O71" s="201">
        <f t="shared" si="54"/>
        <v>0</v>
      </c>
      <c r="P71" s="201">
        <f t="shared" si="54"/>
        <v>0</v>
      </c>
      <c r="Q71" s="201">
        <f t="shared" si="54"/>
        <v>0</v>
      </c>
      <c r="R71" s="201">
        <f t="shared" si="54"/>
        <v>0</v>
      </c>
      <c r="S71" s="201">
        <f t="shared" si="54"/>
        <v>0</v>
      </c>
      <c r="T71" s="201">
        <f t="shared" si="54"/>
        <v>0</v>
      </c>
      <c r="U71" s="536">
        <f>ROUND(SUM(I71:T71),0)</f>
        <v>0</v>
      </c>
      <c r="V71" s="201">
        <f>T71</f>
        <v>0</v>
      </c>
      <c r="W71" s="201">
        <f t="shared" si="55"/>
        <v>0</v>
      </c>
      <c r="X71" s="201">
        <f t="shared" si="55"/>
        <v>0</v>
      </c>
      <c r="Y71" s="201">
        <f t="shared" si="55"/>
        <v>0</v>
      </c>
      <c r="Z71" s="201">
        <f t="shared" si="55"/>
        <v>0</v>
      </c>
      <c r="AA71" s="201">
        <f t="shared" si="55"/>
        <v>0</v>
      </c>
      <c r="AB71" s="201">
        <f t="shared" si="55"/>
        <v>0</v>
      </c>
      <c r="AC71" s="201">
        <f t="shared" si="55"/>
        <v>0</v>
      </c>
      <c r="AD71" s="201">
        <f t="shared" si="55"/>
        <v>0</v>
      </c>
      <c r="AE71" s="201">
        <f t="shared" si="55"/>
        <v>0</v>
      </c>
      <c r="AF71" s="201">
        <f t="shared" si="55"/>
        <v>0</v>
      </c>
      <c r="AG71" s="201">
        <f t="shared" si="55"/>
        <v>0</v>
      </c>
      <c r="AH71" s="536">
        <f>ROUND(SUM(V71:AG71),0)</f>
        <v>0</v>
      </c>
      <c r="AI71" s="201">
        <f>AG71</f>
        <v>0</v>
      </c>
      <c r="AJ71" s="201">
        <f aca="true" t="shared" si="57" ref="AJ71:AT71">AI71</f>
        <v>0</v>
      </c>
      <c r="AK71" s="201">
        <f t="shared" si="57"/>
        <v>0</v>
      </c>
      <c r="AL71" s="201">
        <f t="shared" si="57"/>
        <v>0</v>
      </c>
      <c r="AM71" s="201">
        <f t="shared" si="57"/>
        <v>0</v>
      </c>
      <c r="AN71" s="201">
        <f t="shared" si="57"/>
        <v>0</v>
      </c>
      <c r="AO71" s="201">
        <f t="shared" si="57"/>
        <v>0</v>
      </c>
      <c r="AP71" s="201">
        <f t="shared" si="57"/>
        <v>0</v>
      </c>
      <c r="AQ71" s="201">
        <f t="shared" si="57"/>
        <v>0</v>
      </c>
      <c r="AR71" s="201">
        <f t="shared" si="57"/>
        <v>0</v>
      </c>
      <c r="AS71" s="201">
        <f t="shared" si="57"/>
        <v>0</v>
      </c>
      <c r="AT71" s="201">
        <f t="shared" si="57"/>
        <v>0</v>
      </c>
      <c r="AU71" s="268">
        <f>SUM(AI71:AT71)</f>
        <v>0</v>
      </c>
      <c r="AV71" s="95" t="s">
        <v>59</v>
      </c>
      <c r="AW71" s="95"/>
      <c r="AX71" s="177"/>
      <c r="AY71" s="177"/>
    </row>
    <row r="72" spans="1:51" ht="15" thickBot="1">
      <c r="A72" s="202" t="s">
        <v>60</v>
      </c>
      <c r="B72" s="201"/>
      <c r="C72" s="201"/>
      <c r="D72" s="201"/>
      <c r="E72" s="201">
        <v>0</v>
      </c>
      <c r="F72" s="201">
        <f>B72</f>
        <v>0</v>
      </c>
      <c r="G72" s="201">
        <f aca="true" t="shared" si="58" ref="G72:T72">F72</f>
        <v>0</v>
      </c>
      <c r="H72" s="550">
        <f>ROUND(SUM(B72:G72),0)</f>
        <v>0</v>
      </c>
      <c r="I72" s="236">
        <f>G72</f>
        <v>0</v>
      </c>
      <c r="J72" s="235">
        <f t="shared" si="58"/>
        <v>0</v>
      </c>
      <c r="K72" s="201">
        <f t="shared" si="58"/>
        <v>0</v>
      </c>
      <c r="L72" s="201">
        <f t="shared" si="58"/>
        <v>0</v>
      </c>
      <c r="M72" s="201">
        <f t="shared" si="58"/>
        <v>0</v>
      </c>
      <c r="N72" s="201">
        <f t="shared" si="58"/>
        <v>0</v>
      </c>
      <c r="O72" s="201">
        <f t="shared" si="58"/>
        <v>0</v>
      </c>
      <c r="P72" s="201">
        <f t="shared" si="58"/>
        <v>0</v>
      </c>
      <c r="Q72" s="201">
        <f t="shared" si="58"/>
        <v>0</v>
      </c>
      <c r="R72" s="201">
        <f t="shared" si="58"/>
        <v>0</v>
      </c>
      <c r="S72" s="201">
        <f t="shared" si="58"/>
        <v>0</v>
      </c>
      <c r="T72" s="201">
        <f t="shared" si="58"/>
        <v>0</v>
      </c>
      <c r="U72" s="536">
        <f>ROUND(SUM(I72:T72),0)</f>
        <v>0</v>
      </c>
      <c r="V72" s="201">
        <f>T72</f>
        <v>0</v>
      </c>
      <c r="W72" s="201">
        <f aca="true" t="shared" si="59" ref="W72:AG72">V72</f>
        <v>0</v>
      </c>
      <c r="X72" s="201">
        <f t="shared" si="59"/>
        <v>0</v>
      </c>
      <c r="Y72" s="201">
        <f t="shared" si="59"/>
        <v>0</v>
      </c>
      <c r="Z72" s="201">
        <f t="shared" si="59"/>
        <v>0</v>
      </c>
      <c r="AA72" s="201">
        <f t="shared" si="59"/>
        <v>0</v>
      </c>
      <c r="AB72" s="201">
        <f t="shared" si="59"/>
        <v>0</v>
      </c>
      <c r="AC72" s="201">
        <f t="shared" si="59"/>
        <v>0</v>
      </c>
      <c r="AD72" s="201">
        <f t="shared" si="59"/>
        <v>0</v>
      </c>
      <c r="AE72" s="201">
        <f t="shared" si="59"/>
        <v>0</v>
      </c>
      <c r="AF72" s="201">
        <f t="shared" si="59"/>
        <v>0</v>
      </c>
      <c r="AG72" s="201">
        <f t="shared" si="59"/>
        <v>0</v>
      </c>
      <c r="AH72" s="536">
        <f>ROUND(SUM(V72:AG72),0)</f>
        <v>0</v>
      </c>
      <c r="AI72" s="201">
        <f>AG72</f>
        <v>0</v>
      </c>
      <c r="AJ72" s="201">
        <f aca="true" t="shared" si="60" ref="AJ72:AT72">AI72</f>
        <v>0</v>
      </c>
      <c r="AK72" s="201">
        <f t="shared" si="60"/>
        <v>0</v>
      </c>
      <c r="AL72" s="201">
        <f t="shared" si="60"/>
        <v>0</v>
      </c>
      <c r="AM72" s="201">
        <f t="shared" si="60"/>
        <v>0</v>
      </c>
      <c r="AN72" s="201">
        <f t="shared" si="60"/>
        <v>0</v>
      </c>
      <c r="AO72" s="201">
        <f t="shared" si="60"/>
        <v>0</v>
      </c>
      <c r="AP72" s="201">
        <f t="shared" si="60"/>
        <v>0</v>
      </c>
      <c r="AQ72" s="201">
        <f t="shared" si="60"/>
        <v>0</v>
      </c>
      <c r="AR72" s="201">
        <f t="shared" si="60"/>
        <v>0</v>
      </c>
      <c r="AS72" s="201">
        <f t="shared" si="60"/>
        <v>0</v>
      </c>
      <c r="AT72" s="201">
        <f t="shared" si="60"/>
        <v>0</v>
      </c>
      <c r="AU72" s="268">
        <f t="shared" si="53"/>
        <v>0</v>
      </c>
      <c r="AV72" s="95" t="s">
        <v>60</v>
      </c>
      <c r="AW72" s="95"/>
      <c r="AX72" s="177"/>
      <c r="AY72" s="177"/>
    </row>
    <row r="73" spans="1:51" ht="18">
      <c r="A73" s="296" t="s">
        <v>194</v>
      </c>
      <c r="B73" s="68"/>
      <c r="C73" s="68"/>
      <c r="D73" s="68"/>
      <c r="E73" s="68"/>
      <c r="F73" s="68"/>
      <c r="G73" s="68"/>
      <c r="H73" s="142"/>
      <c r="J73" s="153"/>
      <c r="K73" s="68"/>
      <c r="L73" s="68"/>
      <c r="M73" s="68"/>
      <c r="N73" s="68"/>
      <c r="O73" s="68"/>
      <c r="P73" s="68"/>
      <c r="Q73" s="68"/>
      <c r="R73" s="68"/>
      <c r="S73" s="68"/>
      <c r="T73" s="68"/>
      <c r="U73" s="268"/>
      <c r="V73" s="68"/>
      <c r="W73" s="68"/>
      <c r="X73" s="68"/>
      <c r="Y73" s="68"/>
      <c r="Z73" s="68"/>
      <c r="AA73" s="68"/>
      <c r="AB73" s="68"/>
      <c r="AC73" s="68"/>
      <c r="AD73" s="68"/>
      <c r="AE73" s="68"/>
      <c r="AF73" s="68"/>
      <c r="AG73" s="68"/>
      <c r="AH73" s="268"/>
      <c r="AI73" s="68"/>
      <c r="AJ73" s="68"/>
      <c r="AK73" s="68"/>
      <c r="AL73" s="68"/>
      <c r="AM73" s="68"/>
      <c r="AN73" s="68"/>
      <c r="AO73" s="68"/>
      <c r="AP73" s="68"/>
      <c r="AQ73" s="68"/>
      <c r="AR73" s="68"/>
      <c r="AS73" s="68"/>
      <c r="AT73" s="68"/>
      <c r="AU73" s="268"/>
      <c r="AV73" s="401" t="s">
        <v>194</v>
      </c>
      <c r="AW73" s="400"/>
      <c r="AX73" s="400"/>
      <c r="AY73" s="400"/>
    </row>
    <row r="74" spans="1:51" ht="22.5" customHeight="1">
      <c r="A74" s="305" t="s">
        <v>263</v>
      </c>
      <c r="B74" s="488" t="s">
        <v>257</v>
      </c>
      <c r="C74" s="230"/>
      <c r="D74" s="230"/>
      <c r="E74" s="230"/>
      <c r="F74" s="230"/>
      <c r="G74" s="230"/>
      <c r="H74" s="550">
        <f>ROUND(SUM(B74:G74),0)</f>
        <v>0</v>
      </c>
      <c r="I74" s="233">
        <f>'Mortgage Calc'!$E$52</f>
        <v>11238.966470620557</v>
      </c>
      <c r="J74" s="232">
        <f>'Mortgage Calc'!$E$52</f>
        <v>11238.966470620557</v>
      </c>
      <c r="K74" s="230">
        <f>'Mortgage Calc'!$E$52</f>
        <v>11238.966470620557</v>
      </c>
      <c r="L74" s="230">
        <f>'Mortgage Calc'!$E$52</f>
        <v>11238.966470620557</v>
      </c>
      <c r="M74" s="230">
        <f>'Mortgage Calc'!$E$52</f>
        <v>11238.966470620557</v>
      </c>
      <c r="N74" s="230">
        <f>'Mortgage Calc'!$E$52</f>
        <v>11238.966470620557</v>
      </c>
      <c r="O74" s="230">
        <f>'Mortgage Calc'!$E$52</f>
        <v>11238.966470620557</v>
      </c>
      <c r="P74" s="230">
        <f>'Mortgage Calc'!$E$52</f>
        <v>11238.966470620557</v>
      </c>
      <c r="Q74" s="230">
        <f>'Mortgage Calc'!$E$52</f>
        <v>11238.966470620557</v>
      </c>
      <c r="R74" s="230">
        <f>'Mortgage Calc'!$E$52</f>
        <v>11238.966470620557</v>
      </c>
      <c r="S74" s="230">
        <f>'Mortgage Calc'!$E$52</f>
        <v>11238.966470620557</v>
      </c>
      <c r="T74" s="230">
        <f>'Mortgage Calc'!$E$52</f>
        <v>11238.966470620557</v>
      </c>
      <c r="U74" s="536">
        <f>ROUND(SUM(I74:T74),0)</f>
        <v>134868</v>
      </c>
      <c r="V74" s="230">
        <f>'Mortgage Calc'!$E$52</f>
        <v>11238.966470620557</v>
      </c>
      <c r="W74" s="230">
        <f>'Mortgage Calc'!$E$52</f>
        <v>11238.966470620557</v>
      </c>
      <c r="X74" s="230">
        <f>'Mortgage Calc'!$E$52</f>
        <v>11238.966470620557</v>
      </c>
      <c r="Y74" s="230">
        <f>'Mortgage Calc'!$E$52</f>
        <v>11238.966470620557</v>
      </c>
      <c r="Z74" s="230">
        <f>'Mortgage Calc'!$E$52</f>
        <v>11238.966470620557</v>
      </c>
      <c r="AA74" s="230">
        <f>'Mortgage Calc'!$E$52</f>
        <v>11238.966470620557</v>
      </c>
      <c r="AB74" s="230">
        <f>'Mortgage Calc'!$E$52</f>
        <v>11238.966470620557</v>
      </c>
      <c r="AC74" s="230">
        <f>'Mortgage Calc'!$E$52</f>
        <v>11238.966470620557</v>
      </c>
      <c r="AD74" s="230">
        <f>'Mortgage Calc'!$E$52</f>
        <v>11238.966470620557</v>
      </c>
      <c r="AE74" s="230">
        <f>'Mortgage Calc'!$E$52</f>
        <v>11238.966470620557</v>
      </c>
      <c r="AF74" s="230">
        <f>'Mortgage Calc'!$E$52</f>
        <v>11238.966470620557</v>
      </c>
      <c r="AG74" s="230">
        <f>'Mortgage Calc'!$E$52</f>
        <v>11238.966470620557</v>
      </c>
      <c r="AH74" s="536">
        <f>ROUND(SUM(V74:AG74),0)</f>
        <v>134868</v>
      </c>
      <c r="AI74" s="230">
        <f>'Mortgage Calc'!$E$52</f>
        <v>11238.966470620557</v>
      </c>
      <c r="AJ74" s="230">
        <f>'Mortgage Calc'!$E$52</f>
        <v>11238.966470620557</v>
      </c>
      <c r="AK74" s="230">
        <f>'Mortgage Calc'!$E$52</f>
        <v>11238.966470620557</v>
      </c>
      <c r="AL74" s="230">
        <f>'Mortgage Calc'!$E$52</f>
        <v>11238.966470620557</v>
      </c>
      <c r="AM74" s="230">
        <f>'Mortgage Calc'!$E$52</f>
        <v>11238.966470620557</v>
      </c>
      <c r="AN74" s="230">
        <f>'Mortgage Calc'!$E$52</f>
        <v>11238.966470620557</v>
      </c>
      <c r="AO74" s="230">
        <f>'Mortgage Calc'!$E$52</f>
        <v>11238.966470620557</v>
      </c>
      <c r="AP74" s="230">
        <f>'Mortgage Calc'!$E$52</f>
        <v>11238.966470620557</v>
      </c>
      <c r="AQ74" s="230">
        <f>'Mortgage Calc'!$E$52</f>
        <v>11238.966470620557</v>
      </c>
      <c r="AR74" s="230">
        <f>'Mortgage Calc'!$E$52</f>
        <v>11238.966470620557</v>
      </c>
      <c r="AS74" s="230">
        <f>'Mortgage Calc'!$E$52</f>
        <v>11238.966470620557</v>
      </c>
      <c r="AT74" s="230">
        <f>'Mortgage Calc'!$E$52</f>
        <v>11238.966470620557</v>
      </c>
      <c r="AU74" s="268">
        <f>SUM(AI74:AT74)</f>
        <v>134867.59764744664</v>
      </c>
      <c r="AV74" s="95" t="str">
        <f>A74</f>
        <v>Mortgage/Lease Payments</v>
      </c>
      <c r="AW74" s="95"/>
      <c r="AX74" s="177"/>
      <c r="AY74" s="177"/>
    </row>
    <row r="75" spans="1:51" ht="15" thickBot="1">
      <c r="A75" s="241" t="s">
        <v>238</v>
      </c>
      <c r="B75" s="201"/>
      <c r="C75" s="201"/>
      <c r="D75" s="201"/>
      <c r="E75" s="201"/>
      <c r="F75" s="201">
        <v>0</v>
      </c>
      <c r="G75" s="201">
        <v>0</v>
      </c>
      <c r="H75" s="550">
        <f>ROUND(SUM(B75:G75),0)</f>
        <v>0</v>
      </c>
      <c r="I75" s="236">
        <v>3100</v>
      </c>
      <c r="J75" s="235">
        <v>3100</v>
      </c>
      <c r="K75" s="201">
        <v>3100</v>
      </c>
      <c r="L75" s="201">
        <v>3100</v>
      </c>
      <c r="M75" s="201">
        <v>3100</v>
      </c>
      <c r="N75" s="201">
        <v>3100</v>
      </c>
      <c r="O75" s="201">
        <v>3100</v>
      </c>
      <c r="P75" s="201">
        <v>3100</v>
      </c>
      <c r="Q75" s="201">
        <v>3100</v>
      </c>
      <c r="R75" s="201">
        <f>Q75</f>
        <v>3100</v>
      </c>
      <c r="S75" s="201">
        <v>3100</v>
      </c>
      <c r="T75" s="201">
        <f>S75</f>
        <v>3100</v>
      </c>
      <c r="U75" s="536">
        <f>ROUND(SUM(I75:T75),0)</f>
        <v>37200</v>
      </c>
      <c r="V75" s="201">
        <f>T75</f>
        <v>3100</v>
      </c>
      <c r="W75" s="201">
        <f>V75</f>
        <v>3100</v>
      </c>
      <c r="X75" s="201">
        <f>W75</f>
        <v>3100</v>
      </c>
      <c r="Y75" s="201">
        <f>X75</f>
        <v>3100</v>
      </c>
      <c r="Z75" s="201">
        <v>3100</v>
      </c>
      <c r="AA75" s="201">
        <v>3100</v>
      </c>
      <c r="AB75" s="201">
        <v>3100</v>
      </c>
      <c r="AC75" s="201">
        <v>3100</v>
      </c>
      <c r="AD75" s="201">
        <v>3100</v>
      </c>
      <c r="AE75" s="201">
        <v>3100</v>
      </c>
      <c r="AF75" s="201">
        <v>3100</v>
      </c>
      <c r="AG75" s="201">
        <v>3100</v>
      </c>
      <c r="AH75" s="536">
        <f>ROUND(SUM(V75:AG75),0)</f>
        <v>37200</v>
      </c>
      <c r="AI75" s="201">
        <v>3100</v>
      </c>
      <c r="AJ75" s="201">
        <v>3100</v>
      </c>
      <c r="AK75" s="201">
        <v>3100</v>
      </c>
      <c r="AL75" s="201">
        <v>3100</v>
      </c>
      <c r="AM75" s="201">
        <v>3100</v>
      </c>
      <c r="AN75" s="201">
        <v>3100</v>
      </c>
      <c r="AO75" s="201">
        <v>3100</v>
      </c>
      <c r="AP75" s="201">
        <v>3100</v>
      </c>
      <c r="AQ75" s="201">
        <v>3100</v>
      </c>
      <c r="AR75" s="201">
        <v>3100</v>
      </c>
      <c r="AS75" s="201">
        <v>3100</v>
      </c>
      <c r="AT75" s="201">
        <v>3100</v>
      </c>
      <c r="AU75" s="268">
        <f>SUM(AI75:AT75)</f>
        <v>37200</v>
      </c>
      <c r="AV75" s="95" t="str">
        <f>A75</f>
        <v>Utilities (Not pd w/construction loan)</v>
      </c>
      <c r="AW75" s="95"/>
      <c r="AX75" s="177"/>
      <c r="AY75" s="177"/>
    </row>
    <row r="76" spans="1:51" ht="18">
      <c r="A76" s="294" t="s">
        <v>173</v>
      </c>
      <c r="B76" s="68"/>
      <c r="C76" s="68"/>
      <c r="D76" s="68"/>
      <c r="E76" s="68"/>
      <c r="F76" s="68"/>
      <c r="G76" s="68"/>
      <c r="H76" s="142"/>
      <c r="J76" s="153"/>
      <c r="K76" s="68"/>
      <c r="L76" s="68"/>
      <c r="M76" s="68"/>
      <c r="N76" s="68"/>
      <c r="O76" s="68"/>
      <c r="P76" s="68"/>
      <c r="Q76" s="68"/>
      <c r="R76" s="68"/>
      <c r="S76" s="68"/>
      <c r="T76" s="68"/>
      <c r="U76" s="2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401" t="s">
        <v>173</v>
      </c>
      <c r="AW76" s="400"/>
      <c r="AX76" s="400"/>
      <c r="AY76" s="400"/>
    </row>
    <row r="77" spans="1:51" ht="13.5">
      <c r="A77" s="202" t="s">
        <v>129</v>
      </c>
      <c r="B77" s="201">
        <v>0</v>
      </c>
      <c r="C77" s="201">
        <v>0</v>
      </c>
      <c r="D77" s="201">
        <v>0</v>
      </c>
      <c r="E77" s="201">
        <v>0</v>
      </c>
      <c r="F77" s="201">
        <v>0</v>
      </c>
      <c r="G77" s="201">
        <v>0</v>
      </c>
      <c r="H77" s="550">
        <f>ROUND(SUM(B77:G77),0)</f>
        <v>0</v>
      </c>
      <c r="I77" s="236">
        <v>500</v>
      </c>
      <c r="J77" s="636">
        <v>500</v>
      </c>
      <c r="K77" s="636">
        <v>500</v>
      </c>
      <c r="L77" s="636">
        <v>500</v>
      </c>
      <c r="M77" s="636">
        <v>500</v>
      </c>
      <c r="N77" s="636">
        <v>500</v>
      </c>
      <c r="O77" s="636">
        <v>500</v>
      </c>
      <c r="P77" s="636">
        <v>500</v>
      </c>
      <c r="Q77" s="636">
        <v>500</v>
      </c>
      <c r="R77" s="636">
        <v>500</v>
      </c>
      <c r="S77" s="636">
        <v>500</v>
      </c>
      <c r="T77" s="636">
        <v>500</v>
      </c>
      <c r="U77" s="536">
        <f>ROUND(SUM(I77:T77),0)</f>
        <v>6000</v>
      </c>
      <c r="V77" s="201">
        <v>500</v>
      </c>
      <c r="W77" s="637">
        <v>500</v>
      </c>
      <c r="X77" s="637">
        <v>500</v>
      </c>
      <c r="Y77" s="637">
        <v>500</v>
      </c>
      <c r="Z77" s="637">
        <v>500</v>
      </c>
      <c r="AA77" s="637">
        <v>500</v>
      </c>
      <c r="AB77" s="637">
        <v>500</v>
      </c>
      <c r="AC77" s="637">
        <v>500</v>
      </c>
      <c r="AD77" s="637">
        <v>500</v>
      </c>
      <c r="AE77" s="637">
        <v>500</v>
      </c>
      <c r="AF77" s="637">
        <v>500</v>
      </c>
      <c r="AG77" s="637">
        <v>500</v>
      </c>
      <c r="AH77" s="536">
        <f>ROUND(SUM(V77:AG77),0)</f>
        <v>6000</v>
      </c>
      <c r="AI77" s="201">
        <v>500</v>
      </c>
      <c r="AJ77" s="637">
        <v>500</v>
      </c>
      <c r="AK77" s="637">
        <v>500</v>
      </c>
      <c r="AL77" s="637">
        <v>500</v>
      </c>
      <c r="AM77" s="637">
        <v>500</v>
      </c>
      <c r="AN77" s="637">
        <v>500</v>
      </c>
      <c r="AO77" s="637">
        <v>500</v>
      </c>
      <c r="AP77" s="637">
        <v>500</v>
      </c>
      <c r="AQ77" s="637">
        <v>500</v>
      </c>
      <c r="AR77" s="637">
        <v>500</v>
      </c>
      <c r="AS77" s="637">
        <v>500</v>
      </c>
      <c r="AT77" s="637">
        <v>500</v>
      </c>
      <c r="AU77" s="268">
        <f t="shared" si="53"/>
        <v>6000</v>
      </c>
      <c r="AV77" s="95" t="s">
        <v>129</v>
      </c>
      <c r="AW77" s="95"/>
      <c r="AX77" s="177"/>
      <c r="AY77" s="177"/>
    </row>
    <row r="78" spans="1:51" ht="13.5">
      <c r="A78" s="202" t="s">
        <v>61</v>
      </c>
      <c r="B78" s="201">
        <v>0</v>
      </c>
      <c r="C78" s="201">
        <v>0</v>
      </c>
      <c r="D78" s="201">
        <v>0</v>
      </c>
      <c r="E78" s="201">
        <v>0</v>
      </c>
      <c r="F78" s="201">
        <v>0</v>
      </c>
      <c r="G78" s="201">
        <v>0</v>
      </c>
      <c r="H78" s="550">
        <f>ROUND(SUM(B78:G78),0)</f>
        <v>0</v>
      </c>
      <c r="I78" s="236">
        <v>0</v>
      </c>
      <c r="J78" s="235">
        <v>0</v>
      </c>
      <c r="K78" s="201">
        <v>0</v>
      </c>
      <c r="L78" s="201">
        <v>0</v>
      </c>
      <c r="M78" s="201">
        <v>0</v>
      </c>
      <c r="N78" s="201">
        <v>0</v>
      </c>
      <c r="O78" s="201">
        <v>0</v>
      </c>
      <c r="P78" s="201">
        <v>0</v>
      </c>
      <c r="Q78" s="201">
        <v>0</v>
      </c>
      <c r="R78" s="201">
        <v>0</v>
      </c>
      <c r="S78" s="201">
        <v>0</v>
      </c>
      <c r="T78" s="201">
        <v>0</v>
      </c>
      <c r="U78" s="536">
        <f>ROUND(SUM(I78:T78),0)</f>
        <v>0</v>
      </c>
      <c r="V78" s="201">
        <v>0</v>
      </c>
      <c r="W78" s="201">
        <v>0</v>
      </c>
      <c r="X78" s="201">
        <v>0</v>
      </c>
      <c r="Y78" s="201">
        <v>0</v>
      </c>
      <c r="Z78" s="201">
        <v>0</v>
      </c>
      <c r="AA78" s="201">
        <v>0</v>
      </c>
      <c r="AB78" s="201">
        <v>0</v>
      </c>
      <c r="AC78" s="201">
        <v>0</v>
      </c>
      <c r="AD78" s="201">
        <v>0</v>
      </c>
      <c r="AE78" s="201">
        <v>0</v>
      </c>
      <c r="AF78" s="201">
        <v>0</v>
      </c>
      <c r="AG78" s="201">
        <v>0</v>
      </c>
      <c r="AH78" s="536">
        <f>ROUND(SUM(V78:AG78),0)</f>
        <v>0</v>
      </c>
      <c r="AI78" s="201">
        <f>AG78</f>
        <v>0</v>
      </c>
      <c r="AJ78" s="201">
        <f aca="true" t="shared" si="61" ref="AJ78:AT78">AI78</f>
        <v>0</v>
      </c>
      <c r="AK78" s="201">
        <f t="shared" si="61"/>
        <v>0</v>
      </c>
      <c r="AL78" s="201">
        <f t="shared" si="61"/>
        <v>0</v>
      </c>
      <c r="AM78" s="201">
        <f t="shared" si="61"/>
        <v>0</v>
      </c>
      <c r="AN78" s="201">
        <f t="shared" si="61"/>
        <v>0</v>
      </c>
      <c r="AO78" s="201">
        <f t="shared" si="61"/>
        <v>0</v>
      </c>
      <c r="AP78" s="201">
        <f t="shared" si="61"/>
        <v>0</v>
      </c>
      <c r="AQ78" s="201">
        <f t="shared" si="61"/>
        <v>0</v>
      </c>
      <c r="AR78" s="201">
        <f t="shared" si="61"/>
        <v>0</v>
      </c>
      <c r="AS78" s="201">
        <f t="shared" si="61"/>
        <v>0</v>
      </c>
      <c r="AT78" s="201">
        <f t="shared" si="61"/>
        <v>0</v>
      </c>
      <c r="AU78" s="268">
        <f>SUM(AI78:AT78)</f>
        <v>0</v>
      </c>
      <c r="AV78" s="95" t="s">
        <v>61</v>
      </c>
      <c r="AW78" s="95"/>
      <c r="AX78" s="177"/>
      <c r="AY78" s="177"/>
    </row>
    <row r="79" spans="8:51" ht="15" thickBot="1">
      <c r="H79" s="537"/>
      <c r="J79" s="364"/>
      <c r="AV79" s="95"/>
      <c r="AW79" s="95"/>
      <c r="AX79" s="177"/>
      <c r="AY79" s="177"/>
    </row>
    <row r="80" spans="1:51" ht="18">
      <c r="A80" s="296" t="s">
        <v>331</v>
      </c>
      <c r="B80" s="296"/>
      <c r="D80" s="91" t="s">
        <v>241</v>
      </c>
      <c r="E80" s="276">
        <v>0</v>
      </c>
      <c r="F80" s="69" t="s">
        <v>242</v>
      </c>
      <c r="H80" s="537"/>
      <c r="I80" s="537" t="s">
        <v>264</v>
      </c>
      <c r="J80" s="541">
        <v>0</v>
      </c>
      <c r="K80" s="69" t="s">
        <v>242</v>
      </c>
      <c r="N80" s="306" t="s">
        <v>285</v>
      </c>
      <c r="O80" s="276">
        <v>0</v>
      </c>
      <c r="P80" s="69" t="s">
        <v>242</v>
      </c>
      <c r="AV80" s="95"/>
      <c r="AW80" s="95"/>
      <c r="AX80" s="177"/>
      <c r="AY80" s="177"/>
    </row>
    <row r="81" spans="1:51" ht="13.5">
      <c r="A81" s="78" t="s">
        <v>340</v>
      </c>
      <c r="B81" s="398" t="s">
        <v>243</v>
      </c>
      <c r="C81" s="399"/>
      <c r="D81" s="399"/>
      <c r="E81" s="399"/>
      <c r="F81" s="399"/>
      <c r="G81" s="230">
        <f>ROUNDUP($E$80*G30,0)</f>
        <v>0</v>
      </c>
      <c r="H81" s="550">
        <f>ROUND(SUM(B81:G81),0)</f>
        <v>0</v>
      </c>
      <c r="I81" s="315">
        <f>ROUNDUP($E$80*I$30,0)</f>
        <v>0</v>
      </c>
      <c r="J81" s="232">
        <f aca="true" t="shared" si="62" ref="J81:T81">ROUNDUP($E$80*J30,0)</f>
        <v>0</v>
      </c>
      <c r="K81" s="230">
        <f t="shared" si="62"/>
        <v>0</v>
      </c>
      <c r="L81" s="230">
        <f t="shared" si="62"/>
        <v>0</v>
      </c>
      <c r="M81" s="230">
        <f t="shared" si="62"/>
        <v>0</v>
      </c>
      <c r="N81" s="230">
        <f t="shared" si="62"/>
        <v>0</v>
      </c>
      <c r="O81" s="230">
        <f t="shared" si="62"/>
        <v>0</v>
      </c>
      <c r="P81" s="230">
        <f t="shared" si="62"/>
        <v>0</v>
      </c>
      <c r="Q81" s="230">
        <f t="shared" si="62"/>
        <v>0</v>
      </c>
      <c r="R81" s="230">
        <f t="shared" si="62"/>
        <v>0</v>
      </c>
      <c r="S81" s="230">
        <f t="shared" si="62"/>
        <v>0</v>
      </c>
      <c r="T81" s="230">
        <f t="shared" si="62"/>
        <v>0</v>
      </c>
      <c r="U81" s="536">
        <f>ROUND(SUM(I81:T81),0)</f>
        <v>0</v>
      </c>
      <c r="V81" s="230">
        <f aca="true" t="shared" si="63" ref="V81:AG81">ROUNDUP($J$80*V30,0)</f>
        <v>0</v>
      </c>
      <c r="W81" s="230">
        <f t="shared" si="63"/>
        <v>0</v>
      </c>
      <c r="X81" s="230">
        <f t="shared" si="63"/>
        <v>0</v>
      </c>
      <c r="Y81" s="230">
        <f t="shared" si="63"/>
        <v>0</v>
      </c>
      <c r="Z81" s="230">
        <f t="shared" si="63"/>
        <v>0</v>
      </c>
      <c r="AA81" s="230">
        <f t="shared" si="63"/>
        <v>0</v>
      </c>
      <c r="AB81" s="230">
        <f t="shared" si="63"/>
        <v>0</v>
      </c>
      <c r="AC81" s="230">
        <f t="shared" si="63"/>
        <v>0</v>
      </c>
      <c r="AD81" s="230">
        <f t="shared" si="63"/>
        <v>0</v>
      </c>
      <c r="AE81" s="230">
        <f t="shared" si="63"/>
        <v>0</v>
      </c>
      <c r="AF81" s="230">
        <f t="shared" si="63"/>
        <v>0</v>
      </c>
      <c r="AG81" s="230">
        <f t="shared" si="63"/>
        <v>0</v>
      </c>
      <c r="AH81" s="536">
        <f>ROUND(SUM(V81:AG81),0)</f>
        <v>0</v>
      </c>
      <c r="AI81" s="230">
        <f>ROUNDUP($O$80*AI30,0)</f>
        <v>0</v>
      </c>
      <c r="AJ81" s="230">
        <f aca="true" t="shared" si="64" ref="AJ81:AT81">ROUNDUP($O$80*AJ30,0)</f>
        <v>0</v>
      </c>
      <c r="AK81" s="230">
        <f t="shared" si="64"/>
        <v>0</v>
      </c>
      <c r="AL81" s="230">
        <f t="shared" si="64"/>
        <v>0</v>
      </c>
      <c r="AM81" s="230">
        <f t="shared" si="64"/>
        <v>0</v>
      </c>
      <c r="AN81" s="230">
        <f t="shared" si="64"/>
        <v>0</v>
      </c>
      <c r="AO81" s="230">
        <f t="shared" si="64"/>
        <v>0</v>
      </c>
      <c r="AP81" s="230">
        <f t="shared" si="64"/>
        <v>0</v>
      </c>
      <c r="AQ81" s="230">
        <f t="shared" si="64"/>
        <v>0</v>
      </c>
      <c r="AR81" s="230">
        <f t="shared" si="64"/>
        <v>0</v>
      </c>
      <c r="AS81" s="230">
        <f t="shared" si="64"/>
        <v>0</v>
      </c>
      <c r="AT81" s="230">
        <f t="shared" si="64"/>
        <v>0</v>
      </c>
      <c r="AU81" s="268">
        <f>SUM(AI81:AT81)</f>
        <v>0</v>
      </c>
      <c r="AV81" s="401" t="str">
        <f>A81</f>
        <v>ELCS Management Support Aggreement</v>
      </c>
      <c r="AW81" s="400"/>
      <c r="AX81" s="400"/>
      <c r="AY81" s="400"/>
    </row>
    <row r="82" spans="8:48" ht="13.5">
      <c r="H82" s="537"/>
      <c r="J82" s="364"/>
      <c r="U82" s="79">
        <f>SUM(U56:U81)</f>
        <v>816564</v>
      </c>
      <c r="AG82" s="78"/>
      <c r="AH82" s="79"/>
      <c r="AT82" s="78" t="s">
        <v>219</v>
      </c>
      <c r="AU82" s="79">
        <f>SUM(AU57:AU81)</f>
        <v>273025.61764744663</v>
      </c>
      <c r="AV82" s="289"/>
    </row>
    <row r="83" spans="1:48" ht="21" thickBot="1">
      <c r="A83" s="389" t="s">
        <v>15</v>
      </c>
      <c r="B83" s="231">
        <f aca="true" t="shared" si="65" ref="B83:G83">B56+SUM(B59:B81)</f>
        <v>0</v>
      </c>
      <c r="C83" s="231">
        <f t="shared" si="65"/>
        <v>0</v>
      </c>
      <c r="D83" s="231">
        <f t="shared" si="65"/>
        <v>0</v>
      </c>
      <c r="E83" s="231">
        <f t="shared" si="65"/>
        <v>6799</v>
      </c>
      <c r="F83" s="231">
        <f t="shared" si="65"/>
        <v>14206</v>
      </c>
      <c r="G83" s="231">
        <f t="shared" si="65"/>
        <v>37906</v>
      </c>
      <c r="H83" s="536">
        <f>ROUND(SUM(B83:G83),0)</f>
        <v>58911</v>
      </c>
      <c r="I83" s="238">
        <f>ROUND(I56+SUM(I59:I81),0)</f>
        <v>73028</v>
      </c>
      <c r="J83" s="266">
        <f>ROUND(J56+SUM(J59:J81),0)</f>
        <v>69375</v>
      </c>
      <c r="K83" s="231">
        <f>ROUND(K56+SUM(K59:K81),0)</f>
        <v>69375</v>
      </c>
      <c r="L83" s="231">
        <f aca="true" t="shared" si="66" ref="L83:T83">ROUND(L56+SUM(L59:L81),0)</f>
        <v>69499</v>
      </c>
      <c r="M83" s="231">
        <f t="shared" si="66"/>
        <v>69484</v>
      </c>
      <c r="N83" s="231">
        <f t="shared" si="66"/>
        <v>69291</v>
      </c>
      <c r="O83" s="231">
        <f t="shared" si="66"/>
        <v>71034</v>
      </c>
      <c r="P83" s="231">
        <f t="shared" si="66"/>
        <v>71282</v>
      </c>
      <c r="Q83" s="231">
        <f t="shared" si="66"/>
        <v>60160</v>
      </c>
      <c r="R83" s="231">
        <f t="shared" si="66"/>
        <v>60237</v>
      </c>
      <c r="S83" s="231">
        <f t="shared" si="66"/>
        <v>60269</v>
      </c>
      <c r="T83" s="231">
        <f t="shared" si="66"/>
        <v>73529</v>
      </c>
      <c r="U83" s="536">
        <f>ROUND(SUM(I83:T83),0)</f>
        <v>816563</v>
      </c>
      <c r="V83" s="231">
        <f aca="true" t="shared" si="67" ref="V83:AT83">V56+SUM(V59:V81)</f>
        <v>80679.94647062056</v>
      </c>
      <c r="W83" s="231">
        <f t="shared" si="67"/>
        <v>79277.44647062056</v>
      </c>
      <c r="X83" s="231">
        <f t="shared" si="67"/>
        <v>79277.44647062056</v>
      </c>
      <c r="Y83" s="231">
        <f t="shared" si="67"/>
        <v>81624.06647062056</v>
      </c>
      <c r="Z83" s="231">
        <f t="shared" si="67"/>
        <v>81609.06647062056</v>
      </c>
      <c r="AA83" s="231">
        <f t="shared" si="67"/>
        <v>81415.56647062056</v>
      </c>
      <c r="AB83" s="231">
        <f t="shared" si="67"/>
        <v>81677.82647062055</v>
      </c>
      <c r="AC83" s="231">
        <f t="shared" si="67"/>
        <v>81926.10647062055</v>
      </c>
      <c r="AD83" s="231">
        <f t="shared" si="67"/>
        <v>70805.32647062055</v>
      </c>
      <c r="AE83" s="231">
        <f t="shared" si="67"/>
        <v>70885.72647062056</v>
      </c>
      <c r="AF83" s="231">
        <f t="shared" si="67"/>
        <v>70914.00647062056</v>
      </c>
      <c r="AG83" s="231">
        <f t="shared" si="67"/>
        <v>128132.90647062055</v>
      </c>
      <c r="AH83" s="536">
        <f>ROUND(SUM(V83:AG83),0)</f>
        <v>988225</v>
      </c>
      <c r="AI83" s="231">
        <f t="shared" si="67"/>
        <v>90193.46647062057</v>
      </c>
      <c r="AJ83" s="231">
        <f t="shared" si="67"/>
        <v>88618.46647062057</v>
      </c>
      <c r="AK83" s="231">
        <f t="shared" si="67"/>
        <v>88618.46647062057</v>
      </c>
      <c r="AL83" s="231">
        <f t="shared" si="67"/>
        <v>88658.24647062056</v>
      </c>
      <c r="AM83" s="231">
        <f t="shared" si="67"/>
        <v>88650.74647062056</v>
      </c>
      <c r="AN83" s="231">
        <f t="shared" si="67"/>
        <v>88424.96647062057</v>
      </c>
      <c r="AO83" s="231">
        <f t="shared" si="67"/>
        <v>88445.36647062056</v>
      </c>
      <c r="AP83" s="231">
        <f t="shared" si="67"/>
        <v>88755.86647062056</v>
      </c>
      <c r="AQ83" s="231">
        <f t="shared" si="67"/>
        <v>77622.64647062056</v>
      </c>
      <c r="AR83" s="231">
        <f t="shared" si="67"/>
        <v>77618.14647062056</v>
      </c>
      <c r="AS83" s="231">
        <f t="shared" si="67"/>
        <v>77657.86647062056</v>
      </c>
      <c r="AT83" s="231">
        <f t="shared" si="67"/>
        <v>174201.36647062056</v>
      </c>
      <c r="AU83" s="530">
        <f>IF(SUM(AI83:AT83)&lt;10,0,SUM(AI83:AT83))</f>
        <v>1117465.6176474465</v>
      </c>
      <c r="AV83" s="297" t="s">
        <v>15</v>
      </c>
    </row>
    <row r="84" spans="1:48" ht="18" thickBot="1" thickTop="1">
      <c r="A84" s="68"/>
      <c r="B84" s="82"/>
      <c r="C84" s="82"/>
      <c r="D84" s="82"/>
      <c r="E84" s="82"/>
      <c r="F84" s="82"/>
      <c r="G84" s="68"/>
      <c r="H84" s="142"/>
      <c r="J84" s="82"/>
      <c r="U84" s="68"/>
      <c r="V84" s="186"/>
      <c r="W84" s="186"/>
      <c r="X84" s="186"/>
      <c r="Y84" s="186"/>
      <c r="Z84" s="186"/>
      <c r="AA84" s="186"/>
      <c r="AB84" s="186"/>
      <c r="AC84" s="186"/>
      <c r="AD84" s="186"/>
      <c r="AE84" s="186"/>
      <c r="AF84" s="68"/>
      <c r="AI84" s="186"/>
      <c r="AJ84" s="186"/>
      <c r="AK84" s="186"/>
      <c r="AL84" s="186"/>
      <c r="AM84" s="186"/>
      <c r="AN84" s="186"/>
      <c r="AO84" s="186"/>
      <c r="AP84" s="186"/>
      <c r="AQ84" s="186"/>
      <c r="AR84" s="186"/>
      <c r="AS84" s="68"/>
      <c r="AV84" s="289"/>
    </row>
    <row r="85" spans="1:48" ht="18">
      <c r="A85" s="296" t="s">
        <v>357</v>
      </c>
      <c r="B85" s="296"/>
      <c r="H85" s="538" t="s">
        <v>280</v>
      </c>
      <c r="J85" s="364"/>
      <c r="U85" s="531" t="s">
        <v>281</v>
      </c>
      <c r="AH85" s="531" t="s">
        <v>282</v>
      </c>
      <c r="AU85" s="531" t="s">
        <v>283</v>
      </c>
      <c r="AV85" s="290"/>
    </row>
    <row r="86" spans="1:48" ht="15" thickBot="1">
      <c r="A86" s="305" t="s">
        <v>356</v>
      </c>
      <c r="B86" s="277">
        <f>ROUNDUP(B36-B83,0)</f>
        <v>0</v>
      </c>
      <c r="C86" s="277">
        <f>ROUNDUP(C36-C83,0)</f>
        <v>0</v>
      </c>
      <c r="D86" s="277">
        <f>ROUND(D36-D83,0)</f>
        <v>0</v>
      </c>
      <c r="E86" s="277">
        <f>ROUND(E36-E83,0)</f>
        <v>-6799</v>
      </c>
      <c r="F86" s="277">
        <f>ROUND(F36-F83,0)</f>
        <v>-14206</v>
      </c>
      <c r="G86" s="532">
        <f>ROUND(G36-G83,0)</f>
        <v>-37906</v>
      </c>
      <c r="H86" s="550">
        <f>ROUND(SUM(B86:G86),0)</f>
        <v>-58911</v>
      </c>
      <c r="I86" s="238">
        <f aca="true" t="shared" si="68" ref="I86:T86">ROUND(I36-I83,0)</f>
        <v>18402</v>
      </c>
      <c r="J86" s="533">
        <f t="shared" si="68"/>
        <v>3555</v>
      </c>
      <c r="K86" s="277">
        <f t="shared" si="68"/>
        <v>3555</v>
      </c>
      <c r="L86" s="277">
        <f t="shared" si="68"/>
        <v>5509</v>
      </c>
      <c r="M86" s="277">
        <f t="shared" si="68"/>
        <v>5274</v>
      </c>
      <c r="N86" s="277">
        <f t="shared" si="68"/>
        <v>2242</v>
      </c>
      <c r="O86" s="277">
        <f t="shared" si="68"/>
        <v>4870</v>
      </c>
      <c r="P86" s="277">
        <f t="shared" si="68"/>
        <v>8759</v>
      </c>
      <c r="Q86" s="277">
        <f t="shared" si="68"/>
        <v>19669</v>
      </c>
      <c r="R86" s="277">
        <f t="shared" si="68"/>
        <v>20882</v>
      </c>
      <c r="S86" s="277">
        <f t="shared" si="68"/>
        <v>21387</v>
      </c>
      <c r="T86" s="277">
        <f t="shared" si="68"/>
        <v>13082</v>
      </c>
      <c r="U86" s="536">
        <f>ROUND(SUM(I86:T86),0)</f>
        <v>127186</v>
      </c>
      <c r="V86" s="277">
        <f aca="true" t="shared" si="69" ref="V86:AG86">ROUND(V36-V83,0)</f>
        <v>35553</v>
      </c>
      <c r="W86" s="277">
        <f t="shared" si="69"/>
        <v>13581</v>
      </c>
      <c r="X86" s="277">
        <f t="shared" si="69"/>
        <v>13581</v>
      </c>
      <c r="Y86" s="277">
        <f t="shared" si="69"/>
        <v>13311</v>
      </c>
      <c r="Z86" s="277">
        <f t="shared" si="69"/>
        <v>13076</v>
      </c>
      <c r="AA86" s="277">
        <f t="shared" si="69"/>
        <v>10044</v>
      </c>
      <c r="AB86" s="277">
        <f t="shared" si="69"/>
        <v>14153</v>
      </c>
      <c r="AC86" s="277">
        <f t="shared" si="69"/>
        <v>18043</v>
      </c>
      <c r="AD86" s="277">
        <f t="shared" si="69"/>
        <v>28901</v>
      </c>
      <c r="AE86" s="277">
        <f t="shared" si="69"/>
        <v>30160</v>
      </c>
      <c r="AF86" s="277">
        <f t="shared" si="69"/>
        <v>30670</v>
      </c>
      <c r="AG86" s="277">
        <f t="shared" si="69"/>
        <v>-24084</v>
      </c>
      <c r="AH86" s="536">
        <f>ROUND(SUM(V86:AG86),0)</f>
        <v>196989</v>
      </c>
      <c r="AI86" s="277">
        <f aca="true" t="shared" si="70" ref="AI86:AS86">ROUND(AI36-AI83,0)</f>
        <v>45782</v>
      </c>
      <c r="AJ86" s="277">
        <f t="shared" si="70"/>
        <v>21107</v>
      </c>
      <c r="AK86" s="277">
        <f t="shared" si="70"/>
        <v>21107</v>
      </c>
      <c r="AL86" s="277">
        <f t="shared" si="70"/>
        <v>21730</v>
      </c>
      <c r="AM86" s="277">
        <f t="shared" si="70"/>
        <v>21612</v>
      </c>
      <c r="AN86" s="277">
        <f t="shared" si="70"/>
        <v>18075</v>
      </c>
      <c r="AO86" s="277">
        <f t="shared" si="70"/>
        <v>18395</v>
      </c>
      <c r="AP86" s="277">
        <f t="shared" si="70"/>
        <v>23259</v>
      </c>
      <c r="AQ86" s="277">
        <f t="shared" si="70"/>
        <v>34005</v>
      </c>
      <c r="AR86" s="277">
        <f t="shared" si="70"/>
        <v>33935</v>
      </c>
      <c r="AS86" s="277">
        <f t="shared" si="70"/>
        <v>34557</v>
      </c>
      <c r="AT86" s="277">
        <f>ROUND(AT36-AT83,0)</f>
        <v>-62061</v>
      </c>
      <c r="AU86" s="534">
        <f>AU36-AU83</f>
        <v>231501.38235255354</v>
      </c>
      <c r="AV86" s="363" t="s">
        <v>180</v>
      </c>
    </row>
    <row r="87" spans="1:48" ht="15" thickTop="1">
      <c r="A87" s="305" t="s">
        <v>246</v>
      </c>
      <c r="B87" s="99"/>
      <c r="C87" s="231">
        <f>B86+C86</f>
        <v>0</v>
      </c>
      <c r="D87" s="231">
        <f>C87+D86</f>
        <v>0</v>
      </c>
      <c r="E87" s="231">
        <f aca="true" t="shared" si="71" ref="E87:T87">D87+E86</f>
        <v>-6799</v>
      </c>
      <c r="F87" s="231">
        <f t="shared" si="71"/>
        <v>-21005</v>
      </c>
      <c r="G87" s="237">
        <f t="shared" si="71"/>
        <v>-58911</v>
      </c>
      <c r="H87" s="551"/>
      <c r="I87" s="238">
        <f>G87+I86</f>
        <v>-40509</v>
      </c>
      <c r="J87" s="266">
        <f t="shared" si="71"/>
        <v>-36954</v>
      </c>
      <c r="K87" s="231">
        <f t="shared" si="71"/>
        <v>-33399</v>
      </c>
      <c r="L87" s="231">
        <f t="shared" si="71"/>
        <v>-27890</v>
      </c>
      <c r="M87" s="231">
        <f t="shared" si="71"/>
        <v>-22616</v>
      </c>
      <c r="N87" s="231">
        <f t="shared" si="71"/>
        <v>-20374</v>
      </c>
      <c r="O87" s="231">
        <f t="shared" si="71"/>
        <v>-15504</v>
      </c>
      <c r="P87" s="231">
        <f t="shared" si="71"/>
        <v>-6745</v>
      </c>
      <c r="Q87" s="231">
        <f t="shared" si="71"/>
        <v>12924</v>
      </c>
      <c r="R87" s="231">
        <f t="shared" si="71"/>
        <v>33806</v>
      </c>
      <c r="S87" s="231">
        <f t="shared" si="71"/>
        <v>55193</v>
      </c>
      <c r="T87" s="231">
        <f t="shared" si="71"/>
        <v>68275</v>
      </c>
      <c r="U87" s="308"/>
      <c r="V87" s="231">
        <f>T87+V86</f>
        <v>103828</v>
      </c>
      <c r="W87" s="231">
        <f aca="true" t="shared" si="72" ref="W87:AG87">V87+W86</f>
        <v>117409</v>
      </c>
      <c r="X87" s="231">
        <f t="shared" si="72"/>
        <v>130990</v>
      </c>
      <c r="Y87" s="231">
        <f t="shared" si="72"/>
        <v>144301</v>
      </c>
      <c r="Z87" s="231">
        <f t="shared" si="72"/>
        <v>157377</v>
      </c>
      <c r="AA87" s="231">
        <f t="shared" si="72"/>
        <v>167421</v>
      </c>
      <c r="AB87" s="231">
        <f t="shared" si="72"/>
        <v>181574</v>
      </c>
      <c r="AC87" s="231">
        <f t="shared" si="72"/>
        <v>199617</v>
      </c>
      <c r="AD87" s="231">
        <f t="shared" si="72"/>
        <v>228518</v>
      </c>
      <c r="AE87" s="231">
        <f t="shared" si="72"/>
        <v>258678</v>
      </c>
      <c r="AF87" s="231">
        <f t="shared" si="72"/>
        <v>289348</v>
      </c>
      <c r="AG87" s="231">
        <f t="shared" si="72"/>
        <v>265264</v>
      </c>
      <c r="AH87" s="197"/>
      <c r="AI87" s="231">
        <f>AG87+AI86</f>
        <v>311046</v>
      </c>
      <c r="AJ87" s="231">
        <f aca="true" t="shared" si="73" ref="AJ87:AT87">AI87+AJ86</f>
        <v>332153</v>
      </c>
      <c r="AK87" s="231">
        <f t="shared" si="73"/>
        <v>353260</v>
      </c>
      <c r="AL87" s="231">
        <f t="shared" si="73"/>
        <v>374990</v>
      </c>
      <c r="AM87" s="231">
        <f t="shared" si="73"/>
        <v>396602</v>
      </c>
      <c r="AN87" s="231">
        <f t="shared" si="73"/>
        <v>414677</v>
      </c>
      <c r="AO87" s="231">
        <f t="shared" si="73"/>
        <v>433072</v>
      </c>
      <c r="AP87" s="231">
        <f t="shared" si="73"/>
        <v>456331</v>
      </c>
      <c r="AQ87" s="231">
        <f t="shared" si="73"/>
        <v>490336</v>
      </c>
      <c r="AR87" s="231">
        <f t="shared" si="73"/>
        <v>524271</v>
      </c>
      <c r="AS87" s="231">
        <f t="shared" si="73"/>
        <v>558828</v>
      </c>
      <c r="AT87" s="231">
        <f t="shared" si="73"/>
        <v>496767</v>
      </c>
      <c r="AU87" s="197"/>
      <c r="AV87" s="363" t="s">
        <v>246</v>
      </c>
    </row>
    <row r="88" spans="1:48" ht="13.5">
      <c r="A88" s="202"/>
      <c r="AV88" s="290"/>
    </row>
    <row r="89" spans="8:46" ht="13.5">
      <c r="H89" s="549"/>
      <c r="AG89" s="552"/>
      <c r="AT89" s="552"/>
    </row>
    <row r="90" spans="1:23" ht="15.75" customHeight="1">
      <c r="A90" s="357" t="s">
        <v>214</v>
      </c>
      <c r="I90" s="190"/>
      <c r="K90" s="624"/>
      <c r="L90" s="625"/>
      <c r="M90" s="625"/>
      <c r="N90" s="625"/>
      <c r="O90" s="625"/>
      <c r="P90" s="625"/>
      <c r="Q90" s="625"/>
      <c r="R90" s="625"/>
      <c r="S90" s="625"/>
      <c r="T90" s="625"/>
      <c r="U90" s="625"/>
      <c r="V90" s="625"/>
      <c r="W90" s="625"/>
    </row>
    <row r="91" spans="1:23" ht="15.75" customHeight="1">
      <c r="A91" s="69" t="s">
        <v>332</v>
      </c>
      <c r="K91" s="626"/>
      <c r="L91" s="625"/>
      <c r="M91" s="625"/>
      <c r="N91" s="625"/>
      <c r="O91" s="625"/>
      <c r="P91" s="625"/>
      <c r="Q91" s="625"/>
      <c r="R91" s="625"/>
      <c r="S91" s="625"/>
      <c r="T91" s="625"/>
      <c r="U91" s="625"/>
      <c r="V91" s="625"/>
      <c r="W91" s="625"/>
    </row>
    <row r="92" spans="1:23" ht="15.75" customHeight="1">
      <c r="A92" s="69" t="s">
        <v>215</v>
      </c>
      <c r="K92" s="626"/>
      <c r="L92" s="625"/>
      <c r="M92" s="625"/>
      <c r="N92" s="625"/>
      <c r="O92" s="625"/>
      <c r="P92" s="625"/>
      <c r="Q92" s="625"/>
      <c r="R92" s="625"/>
      <c r="S92" s="625"/>
      <c r="T92" s="625"/>
      <c r="U92" s="625"/>
      <c r="V92" s="625"/>
      <c r="W92" s="625"/>
    </row>
    <row r="93" spans="1:23" ht="15.75" customHeight="1">
      <c r="A93" s="69" t="s">
        <v>333</v>
      </c>
      <c r="K93" s="626"/>
      <c r="L93" s="625"/>
      <c r="M93" s="625"/>
      <c r="N93" s="625"/>
      <c r="O93" s="625"/>
      <c r="P93" s="625"/>
      <c r="Q93" s="625"/>
      <c r="R93" s="625"/>
      <c r="S93" s="625"/>
      <c r="T93" s="625"/>
      <c r="U93" s="625"/>
      <c r="V93" s="625"/>
      <c r="W93" s="625"/>
    </row>
    <row r="94" spans="1:23" ht="15.75" customHeight="1">
      <c r="A94" s="69" t="s">
        <v>334</v>
      </c>
      <c r="K94" s="626"/>
      <c r="L94" s="625"/>
      <c r="M94" s="625"/>
      <c r="N94" s="625"/>
      <c r="O94" s="625"/>
      <c r="P94" s="625"/>
      <c r="Q94" s="625"/>
      <c r="R94" s="625"/>
      <c r="S94" s="625"/>
      <c r="T94" s="625"/>
      <c r="U94" s="625"/>
      <c r="V94" s="625"/>
      <c r="W94" s="625"/>
    </row>
    <row r="95" spans="1:23" ht="15.75" customHeight="1">
      <c r="A95" s="69" t="s">
        <v>335</v>
      </c>
      <c r="K95" s="624"/>
      <c r="L95" s="625"/>
      <c r="M95" s="625"/>
      <c r="N95" s="625"/>
      <c r="O95" s="625"/>
      <c r="P95" s="625"/>
      <c r="Q95" s="625"/>
      <c r="R95" s="625"/>
      <c r="S95" s="625"/>
      <c r="T95" s="625"/>
      <c r="U95" s="625"/>
      <c r="V95" s="625"/>
      <c r="W95" s="625"/>
    </row>
    <row r="96" spans="1:23" ht="15.75" customHeight="1">
      <c r="A96" s="69" t="s">
        <v>216</v>
      </c>
      <c r="K96" s="626"/>
      <c r="L96" s="625"/>
      <c r="M96" s="625"/>
      <c r="N96" s="625"/>
      <c r="O96" s="625"/>
      <c r="P96" s="625"/>
      <c r="Q96" s="625"/>
      <c r="R96" s="625"/>
      <c r="S96" s="625"/>
      <c r="T96" s="625"/>
      <c r="U96" s="625"/>
      <c r="V96" s="625"/>
      <c r="W96" s="625"/>
    </row>
    <row r="97" spans="1:23" ht="15.75" customHeight="1">
      <c r="A97" s="69" t="s">
        <v>217</v>
      </c>
      <c r="K97" s="626"/>
      <c r="L97" s="625"/>
      <c r="M97" s="625"/>
      <c r="N97" s="625"/>
      <c r="O97" s="625"/>
      <c r="P97" s="625"/>
      <c r="Q97" s="625"/>
      <c r="R97" s="625"/>
      <c r="S97" s="625"/>
      <c r="T97" s="625"/>
      <c r="U97" s="625"/>
      <c r="V97" s="625"/>
      <c r="W97" s="625"/>
    </row>
    <row r="98" spans="11:23" ht="15.75" customHeight="1">
      <c r="K98" s="626"/>
      <c r="L98" s="625"/>
      <c r="M98" s="625"/>
      <c r="N98" s="625"/>
      <c r="O98" s="625"/>
      <c r="P98" s="625"/>
      <c r="Q98" s="625"/>
      <c r="R98" s="625"/>
      <c r="S98" s="625"/>
      <c r="T98" s="625"/>
      <c r="U98" s="625"/>
      <c r="V98" s="625"/>
      <c r="W98" s="625"/>
    </row>
    <row r="99" spans="1:23" ht="15.75" customHeight="1">
      <c r="A99" s="373">
        <v>7</v>
      </c>
      <c r="K99" s="626"/>
      <c r="L99" s="625"/>
      <c r="M99" s="625"/>
      <c r="N99" s="625"/>
      <c r="O99" s="625"/>
      <c r="P99" s="625"/>
      <c r="Q99" s="625"/>
      <c r="R99" s="625"/>
      <c r="S99" s="625"/>
      <c r="T99" s="625"/>
      <c r="U99" s="625"/>
      <c r="V99" s="625"/>
      <c r="W99" s="625"/>
    </row>
    <row r="100" spans="11:23" ht="15.75" customHeight="1">
      <c r="K100" s="626"/>
      <c r="L100" s="625"/>
      <c r="M100" s="625"/>
      <c r="N100" s="625"/>
      <c r="O100" s="625"/>
      <c r="P100" s="625"/>
      <c r="Q100" s="625"/>
      <c r="R100" s="625"/>
      <c r="S100" s="625"/>
      <c r="T100" s="625"/>
      <c r="U100" s="625"/>
      <c r="V100" s="625"/>
      <c r="W100" s="625"/>
    </row>
    <row r="101" spans="1:23" ht="15.75" customHeight="1">
      <c r="A101" s="357"/>
      <c r="K101" s="627"/>
      <c r="L101" s="625"/>
      <c r="M101" s="625"/>
      <c r="N101" s="625"/>
      <c r="O101" s="625"/>
      <c r="P101" s="625"/>
      <c r="Q101" s="625"/>
      <c r="R101" s="625"/>
      <c r="S101" s="625"/>
      <c r="T101" s="625"/>
      <c r="U101" s="625"/>
      <c r="V101" s="625"/>
      <c r="W101" s="625"/>
    </row>
    <row r="102" spans="11:23" ht="15.75" customHeight="1">
      <c r="K102" s="626"/>
      <c r="L102" s="625"/>
      <c r="M102" s="625"/>
      <c r="N102" s="625"/>
      <c r="O102" s="625"/>
      <c r="P102" s="625"/>
      <c r="Q102" s="625"/>
      <c r="R102" s="625"/>
      <c r="S102" s="625"/>
      <c r="T102" s="625"/>
      <c r="U102" s="625"/>
      <c r="V102" s="625"/>
      <c r="W102" s="625"/>
    </row>
    <row r="103" spans="11:23" ht="15.75" customHeight="1">
      <c r="K103" s="626"/>
      <c r="L103" s="625"/>
      <c r="M103" s="625"/>
      <c r="N103" s="625"/>
      <c r="O103" s="625"/>
      <c r="P103" s="625"/>
      <c r="Q103" s="625"/>
      <c r="R103" s="625"/>
      <c r="S103" s="625"/>
      <c r="T103" s="625"/>
      <c r="U103" s="625"/>
      <c r="V103" s="625"/>
      <c r="W103" s="625"/>
    </row>
    <row r="104" spans="11:23" ht="15.75" customHeight="1">
      <c r="K104" s="626"/>
      <c r="L104" s="625"/>
      <c r="M104" s="625"/>
      <c r="N104" s="625"/>
      <c r="O104" s="625"/>
      <c r="P104" s="625"/>
      <c r="Q104" s="625"/>
      <c r="R104" s="625"/>
      <c r="S104" s="625"/>
      <c r="T104" s="625"/>
      <c r="U104" s="625"/>
      <c r="V104" s="625"/>
      <c r="W104" s="625"/>
    </row>
    <row r="105" spans="11:23" ht="15.75" customHeight="1">
      <c r="K105" s="626"/>
      <c r="L105" s="625"/>
      <c r="M105" s="625"/>
      <c r="N105" s="625"/>
      <c r="O105" s="625"/>
      <c r="P105" s="625"/>
      <c r="Q105" s="625"/>
      <c r="R105" s="625"/>
      <c r="S105" s="625"/>
      <c r="T105" s="625"/>
      <c r="U105" s="625"/>
      <c r="V105" s="625"/>
      <c r="W105" s="625"/>
    </row>
    <row r="106" spans="11:23" ht="15.75" customHeight="1">
      <c r="K106" s="626"/>
      <c r="L106" s="625"/>
      <c r="M106" s="625"/>
      <c r="N106" s="625"/>
      <c r="O106" s="625"/>
      <c r="P106" s="625"/>
      <c r="Q106" s="625"/>
      <c r="R106" s="625"/>
      <c r="S106" s="625"/>
      <c r="T106" s="625"/>
      <c r="U106" s="625"/>
      <c r="V106" s="625"/>
      <c r="W106" s="625"/>
    </row>
    <row r="107" spans="11:23" ht="15.75" customHeight="1">
      <c r="K107" s="626"/>
      <c r="L107" s="625"/>
      <c r="M107" s="625"/>
      <c r="N107" s="625"/>
      <c r="O107" s="625"/>
      <c r="P107" s="625"/>
      <c r="Q107" s="625"/>
      <c r="R107" s="625"/>
      <c r="S107" s="625"/>
      <c r="T107" s="625"/>
      <c r="U107" s="625"/>
      <c r="V107" s="625"/>
      <c r="W107" s="625"/>
    </row>
    <row r="108" spans="11:23" ht="15.75" customHeight="1">
      <c r="K108" s="626"/>
      <c r="L108" s="625"/>
      <c r="M108" s="625"/>
      <c r="N108" s="625"/>
      <c r="O108" s="625"/>
      <c r="P108" s="625"/>
      <c r="Q108" s="625"/>
      <c r="R108" s="625"/>
      <c r="S108" s="625"/>
      <c r="T108" s="625"/>
      <c r="U108" s="625"/>
      <c r="V108" s="625"/>
      <c r="W108" s="625"/>
    </row>
    <row r="109" spans="11:23" ht="15.75" customHeight="1">
      <c r="K109" s="626"/>
      <c r="L109" s="625"/>
      <c r="M109" s="625"/>
      <c r="N109" s="625"/>
      <c r="O109" s="625"/>
      <c r="P109" s="625"/>
      <c r="Q109" s="625"/>
      <c r="R109" s="625"/>
      <c r="S109" s="625"/>
      <c r="T109" s="625"/>
      <c r="U109" s="625"/>
      <c r="V109" s="625"/>
      <c r="W109" s="625"/>
    </row>
    <row r="110" spans="11:23" ht="15.75" customHeight="1">
      <c r="K110" s="626"/>
      <c r="L110" s="625"/>
      <c r="M110" s="625"/>
      <c r="N110" s="625"/>
      <c r="O110" s="625"/>
      <c r="P110" s="625"/>
      <c r="Q110" s="625"/>
      <c r="R110" s="625"/>
      <c r="S110" s="625"/>
      <c r="T110" s="625"/>
      <c r="U110" s="625"/>
      <c r="V110" s="625"/>
      <c r="W110" s="625"/>
    </row>
    <row r="111" spans="11:23" ht="15.75" customHeight="1">
      <c r="K111" s="626"/>
      <c r="L111" s="625"/>
      <c r="M111" s="625"/>
      <c r="N111" s="625"/>
      <c r="O111" s="625"/>
      <c r="P111" s="625"/>
      <c r="Q111" s="625"/>
      <c r="R111" s="625"/>
      <c r="S111" s="625"/>
      <c r="T111" s="625"/>
      <c r="U111" s="625"/>
      <c r="V111" s="625"/>
      <c r="W111" s="625"/>
    </row>
    <row r="112" spans="11:23" ht="15.75" customHeight="1">
      <c r="K112" s="626"/>
      <c r="L112" s="625"/>
      <c r="M112" s="625"/>
      <c r="N112" s="625"/>
      <c r="O112" s="625"/>
      <c r="P112" s="625"/>
      <c r="Q112" s="625"/>
      <c r="R112" s="625"/>
      <c r="S112" s="625"/>
      <c r="T112" s="625"/>
      <c r="U112" s="625"/>
      <c r="V112" s="625"/>
      <c r="W112" s="625"/>
    </row>
    <row r="113" spans="11:23" ht="15.75" customHeight="1">
      <c r="K113" s="626"/>
      <c r="L113" s="625"/>
      <c r="M113" s="625"/>
      <c r="N113" s="625"/>
      <c r="O113" s="625"/>
      <c r="P113" s="625"/>
      <c r="Q113" s="625"/>
      <c r="R113" s="625"/>
      <c r="S113" s="625"/>
      <c r="T113" s="625"/>
      <c r="U113" s="625"/>
      <c r="V113" s="625"/>
      <c r="W113" s="625"/>
    </row>
    <row r="114" spans="11:23" ht="15.75" customHeight="1">
      <c r="K114" s="626"/>
      <c r="L114" s="625"/>
      <c r="M114" s="625"/>
      <c r="N114" s="625"/>
      <c r="O114" s="625"/>
      <c r="P114" s="625"/>
      <c r="Q114" s="625"/>
      <c r="R114" s="625"/>
      <c r="S114" s="625"/>
      <c r="T114" s="625"/>
      <c r="U114" s="625"/>
      <c r="V114" s="625"/>
      <c r="W114" s="625"/>
    </row>
    <row r="115" spans="11:23" ht="13.5">
      <c r="K115" s="625"/>
      <c r="L115" s="625"/>
      <c r="M115" s="625"/>
      <c r="N115" s="625"/>
      <c r="O115" s="625"/>
      <c r="P115" s="625"/>
      <c r="Q115" s="625"/>
      <c r="R115" s="625"/>
      <c r="S115" s="625"/>
      <c r="T115" s="625"/>
      <c r="U115" s="625"/>
      <c r="V115" s="625"/>
      <c r="W115" s="625"/>
    </row>
  </sheetData>
  <sheetProtection password="CE37" sheet="1"/>
  <mergeCells count="1">
    <mergeCell ref="A1:M1"/>
  </mergeCells>
  <printOptions/>
  <pageMargins left="0.42" right="0.2" top="0.22" bottom="0.32" header="0.5" footer="0.26"/>
  <pageSetup fitToHeight="3" orientation="portrait" scale="45"/>
  <headerFooter alignWithMargins="0">
    <oddFooter>&amp;L^&amp;C&amp;D - Page &amp;P&amp;R</oddFooter>
  </headerFooter>
  <ignoredErrors>
    <ignoredError sqref="F66:F70 J55:T55 G55 AI60:AT61 M61:T61 J68:J70 I68:I70 I71:T72 V66:AG73 M63:T63 V55:AF55 V60:AG61 AG76 T66:T67 G68:G70 T75 M64:T64 T69:T70 F71:G72 K66:S66 R75 V75:X75 AI66:AT74 V63:AG63 AI63:AT63 AI76:AT76 N60:T60 K68:S70 L67:S67"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Z47"/>
  <sheetViews>
    <sheetView zoomScale="125" zoomScaleNormal="125" zoomScalePageLayoutView="0" workbookViewId="0" topLeftCell="A1">
      <selection activeCell="C18" sqref="C18"/>
    </sheetView>
  </sheetViews>
  <sheetFormatPr defaultColWidth="8.8515625" defaultRowHeight="16.5"/>
  <cols>
    <col min="1" max="1" width="3.00390625" style="0" customWidth="1"/>
    <col min="2" max="2" width="11.8515625" style="0" customWidth="1"/>
    <col min="3" max="3" width="9.421875" style="0" customWidth="1"/>
    <col min="4" max="4" width="10.57421875" style="0" customWidth="1"/>
    <col min="5" max="6" width="8.8515625" style="0" customWidth="1"/>
    <col min="7" max="7" width="10.8515625" style="0" customWidth="1"/>
    <col min="8" max="8" width="8.8515625" style="0" customWidth="1"/>
    <col min="9" max="9" width="9.421875" style="0" customWidth="1"/>
    <col min="10" max="10" width="10.140625" style="0" customWidth="1"/>
    <col min="11" max="11" width="8.8515625" style="0" customWidth="1"/>
    <col min="12" max="12" width="10.421875" style="0" customWidth="1"/>
    <col min="13" max="13" width="8.8515625" style="0" customWidth="1"/>
    <col min="14" max="14" width="10.421875" style="0" customWidth="1"/>
    <col min="15" max="15" width="12.140625" style="0" customWidth="1"/>
    <col min="16" max="16" width="6.8515625" style="0" customWidth="1"/>
    <col min="17" max="17" width="10.421875" style="0" customWidth="1"/>
    <col min="18" max="18" width="9.421875" style="0" customWidth="1"/>
    <col min="19" max="20" width="10.421875" style="0" customWidth="1"/>
    <col min="21" max="21" width="9.421875" style="0" customWidth="1"/>
    <col min="22" max="22" width="10.57421875" style="0" customWidth="1"/>
    <col min="23" max="23" width="10.421875" style="0" customWidth="1"/>
    <col min="24" max="24" width="7.421875" style="0" customWidth="1"/>
  </cols>
  <sheetData>
    <row r="1" spans="2:10" ht="21" thickBot="1">
      <c r="B1" s="673" t="str">
        <f>Overview!$A$1</f>
        <v>A Business and Mission Plan</v>
      </c>
      <c r="C1" s="674"/>
      <c r="D1" s="674"/>
      <c r="E1" s="674"/>
      <c r="F1" s="674"/>
      <c r="G1" s="674"/>
      <c r="H1" s="674"/>
      <c r="I1" s="674"/>
      <c r="J1" s="675"/>
    </row>
    <row r="2" spans="2:24" ht="24.75" customHeight="1">
      <c r="B2" s="22"/>
      <c r="C2" s="62" t="s">
        <v>75</v>
      </c>
      <c r="D2" s="62"/>
      <c r="E2" s="62"/>
      <c r="F2" s="62"/>
      <c r="G2" s="22"/>
      <c r="H2" s="22"/>
      <c r="I2" s="22"/>
      <c r="J2" s="22"/>
      <c r="K2" s="22"/>
      <c r="L2" s="22"/>
      <c r="M2" s="22"/>
      <c r="N2" s="22"/>
      <c r="O2" s="22"/>
      <c r="P2" s="22"/>
      <c r="Q2" s="22"/>
      <c r="R2" s="22"/>
      <c r="S2" s="22"/>
      <c r="T2" s="22"/>
      <c r="U2" s="22"/>
      <c r="V2" s="22"/>
      <c r="W2" s="22"/>
      <c r="X2" s="22"/>
    </row>
    <row r="3" spans="2:24" ht="17.25" thickBot="1">
      <c r="B3" s="63"/>
      <c r="C3" s="63"/>
      <c r="D3" s="63"/>
      <c r="E3" s="63"/>
      <c r="F3" s="63"/>
      <c r="G3" s="63"/>
      <c r="H3" s="63"/>
      <c r="I3" s="63"/>
      <c r="J3" s="64"/>
      <c r="K3" s="63"/>
      <c r="L3" s="63"/>
      <c r="M3" s="63"/>
      <c r="N3" s="63"/>
      <c r="O3" s="63"/>
      <c r="P3" s="20"/>
      <c r="Q3" s="20"/>
      <c r="R3" s="20"/>
      <c r="S3" s="20"/>
      <c r="T3" s="20"/>
      <c r="U3" s="20"/>
      <c r="V3" s="20"/>
      <c r="W3" s="20"/>
      <c r="X3" s="20"/>
    </row>
    <row r="4" spans="2:16" ht="16.5">
      <c r="B4" s="33"/>
      <c r="C4" s="34"/>
      <c r="D4" s="34"/>
      <c r="E4" s="34"/>
      <c r="F4" s="34"/>
      <c r="G4" s="34"/>
      <c r="H4" s="34"/>
      <c r="I4" s="34"/>
      <c r="J4" s="34"/>
      <c r="K4" s="34"/>
      <c r="L4" s="34"/>
      <c r="M4" s="34"/>
      <c r="N4" s="34"/>
      <c r="O4" s="35"/>
      <c r="P4" s="31"/>
    </row>
    <row r="5" spans="2:26" ht="18.75" thickBot="1">
      <c r="B5" s="36" t="s">
        <v>71</v>
      </c>
      <c r="C5" s="37"/>
      <c r="D5" s="37"/>
      <c r="E5" s="37"/>
      <c r="F5" s="37"/>
      <c r="G5" s="37"/>
      <c r="H5" s="38"/>
      <c r="I5" s="38"/>
      <c r="J5" s="38"/>
      <c r="K5" s="23"/>
      <c r="L5" s="23"/>
      <c r="M5" s="24"/>
      <c r="N5" s="24"/>
      <c r="O5" s="39"/>
      <c r="P5" s="31"/>
      <c r="Q5" s="22"/>
      <c r="R5" s="22"/>
      <c r="S5" s="22"/>
      <c r="T5" s="22"/>
      <c r="U5" s="22"/>
      <c r="V5" s="22"/>
      <c r="W5" s="22"/>
      <c r="X5" s="22"/>
      <c r="Z5" s="69"/>
    </row>
    <row r="6" spans="2:25" ht="16.5">
      <c r="B6" s="40" t="s">
        <v>121</v>
      </c>
      <c r="C6" s="38"/>
      <c r="D6" s="38"/>
      <c r="E6" s="38"/>
      <c r="F6" s="38"/>
      <c r="G6" s="38"/>
      <c r="H6" s="38"/>
      <c r="I6" s="38"/>
      <c r="J6" s="38"/>
      <c r="K6" s="23"/>
      <c r="L6" s="23"/>
      <c r="M6" s="24"/>
      <c r="N6" s="24"/>
      <c r="O6" s="39"/>
      <c r="P6" s="52"/>
      <c r="Q6" s="33"/>
      <c r="R6" s="34"/>
      <c r="S6" s="34"/>
      <c r="T6" s="34"/>
      <c r="U6" s="34"/>
      <c r="V6" s="34"/>
      <c r="W6" s="34"/>
      <c r="X6" s="35"/>
      <c r="Y6" s="31"/>
    </row>
    <row r="7" spans="2:25" ht="16.5">
      <c r="B7" s="41" t="s">
        <v>120</v>
      </c>
      <c r="C7" s="38"/>
      <c r="D7" s="38"/>
      <c r="E7" s="38"/>
      <c r="F7" s="38"/>
      <c r="G7" s="38"/>
      <c r="H7" s="38"/>
      <c r="I7" s="38"/>
      <c r="J7" s="38"/>
      <c r="K7" s="23"/>
      <c r="L7" s="23"/>
      <c r="M7" s="24"/>
      <c r="N7" s="24"/>
      <c r="O7" s="39"/>
      <c r="P7" s="52"/>
      <c r="Q7" s="53" t="s">
        <v>102</v>
      </c>
      <c r="R7" s="54"/>
      <c r="S7" s="54"/>
      <c r="T7" s="54"/>
      <c r="U7" s="54"/>
      <c r="V7" s="54"/>
      <c r="W7" s="54"/>
      <c r="X7" s="55"/>
      <c r="Y7" s="31"/>
    </row>
    <row r="8" spans="2:25" ht="83.25" thickBot="1">
      <c r="B8" s="255"/>
      <c r="C8" s="8" t="s">
        <v>16</v>
      </c>
      <c r="D8" s="9"/>
      <c r="E8" s="253" t="s">
        <v>68</v>
      </c>
      <c r="F8" s="253" t="str">
        <f>'CC Factors'!$K$6</f>
        <v>State Children per Tchr.</v>
      </c>
      <c r="G8" s="253" t="s">
        <v>17</v>
      </c>
      <c r="H8" s="253" t="s">
        <v>67</v>
      </c>
      <c r="I8" s="253" t="s">
        <v>18</v>
      </c>
      <c r="J8" s="254" t="s">
        <v>190</v>
      </c>
      <c r="K8" s="254" t="s">
        <v>74</v>
      </c>
      <c r="L8" s="254" t="s">
        <v>73</v>
      </c>
      <c r="M8" s="254" t="s">
        <v>122</v>
      </c>
      <c r="N8" s="254" t="s">
        <v>155</v>
      </c>
      <c r="O8" s="260" t="s">
        <v>123</v>
      </c>
      <c r="P8" s="52"/>
      <c r="Q8" s="522"/>
      <c r="R8" s="523" t="s">
        <v>275</v>
      </c>
      <c r="S8" s="523" t="s">
        <v>276</v>
      </c>
      <c r="T8" s="523" t="s">
        <v>277</v>
      </c>
      <c r="U8" s="523" t="s">
        <v>274</v>
      </c>
      <c r="V8" s="523" t="s">
        <v>93</v>
      </c>
      <c r="W8" s="8"/>
      <c r="X8" s="39"/>
      <c r="Y8" s="31"/>
    </row>
    <row r="9" spans="2:25" ht="16.5">
      <c r="B9" s="43"/>
      <c r="C9" s="13"/>
      <c r="D9" s="14" t="str">
        <f>'CC Factors'!S11</f>
        <v>Infants (6 wks - 12 months)</v>
      </c>
      <c r="E9" s="292">
        <f>'CC Factors'!$AD37</f>
        <v>0</v>
      </c>
      <c r="F9" s="10">
        <f>'CC Factors'!L9</f>
        <v>4</v>
      </c>
      <c r="G9" s="10">
        <f>'CC Factors'!M9</f>
        <v>8</v>
      </c>
      <c r="H9" s="350">
        <v>4</v>
      </c>
      <c r="I9" s="351">
        <v>8</v>
      </c>
      <c r="J9" s="44">
        <f>ROUNDUP(E9/F9/2,0)</f>
        <v>0</v>
      </c>
      <c r="K9" s="44">
        <f>J9</f>
        <v>0</v>
      </c>
      <c r="L9" s="44">
        <f>ROUNDUP(E9/F9,0)-K9</f>
        <v>0</v>
      </c>
      <c r="M9" s="44">
        <f aca="true" t="shared" si="0" ref="M9:M15">IF(E9&gt;0,ROUNDUP(E9*35/J9,0),0)</f>
        <v>0</v>
      </c>
      <c r="N9" s="230">
        <f>E9*9</f>
        <v>0</v>
      </c>
      <c r="O9" s="261">
        <f>M9*J9+N9*J9</f>
        <v>0</v>
      </c>
      <c r="P9" s="52"/>
      <c r="Q9" s="56" t="s">
        <v>103</v>
      </c>
      <c r="R9" s="259">
        <v>160</v>
      </c>
      <c r="S9" s="57">
        <v>100</v>
      </c>
      <c r="T9" s="21">
        <f>$R9*S9</f>
        <v>16000</v>
      </c>
      <c r="U9" s="259">
        <v>0</v>
      </c>
      <c r="V9" s="21">
        <f>$R9*U9</f>
        <v>0</v>
      </c>
      <c r="W9" s="58"/>
      <c r="X9" s="39"/>
      <c r="Y9" s="31"/>
    </row>
    <row r="10" spans="2:25" ht="16.5">
      <c r="B10" s="45"/>
      <c r="C10" s="15"/>
      <c r="D10" s="16" t="str">
        <f>'CC Factors'!S12</f>
        <v>Toddlers (12mo-24mo)</v>
      </c>
      <c r="E10" s="292">
        <f>'CC Factors'!$AD38</f>
        <v>0</v>
      </c>
      <c r="F10" s="11">
        <f>'CC Factors'!L10</f>
        <v>4</v>
      </c>
      <c r="G10" s="11">
        <f>'CC Factors'!M10</f>
        <v>8</v>
      </c>
      <c r="H10" s="352">
        <v>4</v>
      </c>
      <c r="I10" s="353">
        <v>12</v>
      </c>
      <c r="J10" s="44">
        <f aca="true" t="shared" si="1" ref="J10:J15">ROUNDUP(E10/F10/2,0)</f>
        <v>0</v>
      </c>
      <c r="K10" s="44">
        <f aca="true" t="shared" si="2" ref="K10:K15">J10</f>
        <v>0</v>
      </c>
      <c r="L10" s="44">
        <f aca="true" t="shared" si="3" ref="L10:L15">ROUNDUP(E10/F10,0)-K10</f>
        <v>0</v>
      </c>
      <c r="M10" s="44">
        <f t="shared" si="0"/>
        <v>0</v>
      </c>
      <c r="N10" s="230">
        <f aca="true" t="shared" si="4" ref="N10:N15">E10*9</f>
        <v>0</v>
      </c>
      <c r="O10" s="261">
        <f aca="true" t="shared" si="5" ref="O10:O15">M10*J10+N10*J10</f>
        <v>0</v>
      </c>
      <c r="P10" s="52"/>
      <c r="Q10" s="59" t="s">
        <v>92</v>
      </c>
      <c r="R10" s="230">
        <f>R9/5*3*1.1</f>
        <v>105.60000000000001</v>
      </c>
      <c r="S10" s="57">
        <v>0</v>
      </c>
      <c r="T10" s="21">
        <f>$R10*S10</f>
        <v>0</v>
      </c>
      <c r="U10" s="21">
        <f>100-U9</f>
        <v>100</v>
      </c>
      <c r="V10" s="21">
        <f>$R10*U10</f>
        <v>10560</v>
      </c>
      <c r="W10" s="58"/>
      <c r="X10" s="39"/>
      <c r="Y10" s="31"/>
    </row>
    <row r="11" spans="2:25" ht="16.5">
      <c r="B11" s="45"/>
      <c r="C11" s="15"/>
      <c r="D11" s="16" t="str">
        <f>'CC Factors'!S13</f>
        <v>Toddlers (24mo to 36 mo)</v>
      </c>
      <c r="E11" s="292">
        <f>'CC Factors'!$AD39</f>
        <v>15</v>
      </c>
      <c r="F11" s="11">
        <f>'CC Factors'!L11</f>
        <v>6</v>
      </c>
      <c r="G11" s="11">
        <f>'CC Factors'!M11</f>
        <v>20</v>
      </c>
      <c r="H11" s="352">
        <v>6</v>
      </c>
      <c r="I11" s="353">
        <v>12</v>
      </c>
      <c r="J11" s="44">
        <f t="shared" si="1"/>
        <v>2</v>
      </c>
      <c r="K11" s="44">
        <f t="shared" si="2"/>
        <v>2</v>
      </c>
      <c r="L11" s="44">
        <f t="shared" si="3"/>
        <v>1</v>
      </c>
      <c r="M11" s="44">
        <f t="shared" si="0"/>
        <v>263</v>
      </c>
      <c r="N11" s="230">
        <f t="shared" si="4"/>
        <v>135</v>
      </c>
      <c r="O11" s="261">
        <f t="shared" si="5"/>
        <v>796</v>
      </c>
      <c r="P11" s="52"/>
      <c r="Q11" s="42"/>
      <c r="R11" s="58"/>
      <c r="S11" s="58"/>
      <c r="T11" s="58"/>
      <c r="U11" s="58"/>
      <c r="V11" s="58"/>
      <c r="W11" s="58"/>
      <c r="X11" s="39"/>
      <c r="Y11" s="31"/>
    </row>
    <row r="12" spans="2:25" ht="16.5">
      <c r="B12" s="45"/>
      <c r="C12" s="15"/>
      <c r="D12" s="16" t="str">
        <f>'CC Factors'!S14</f>
        <v>3's Classroom</v>
      </c>
      <c r="E12" s="292">
        <f>'CC Factors'!$AD40</f>
        <v>15</v>
      </c>
      <c r="F12" s="11">
        <f>'CC Factors'!L12</f>
        <v>8</v>
      </c>
      <c r="G12" s="11">
        <f>'CC Factors'!M12</f>
        <v>20</v>
      </c>
      <c r="H12" s="352">
        <v>9</v>
      </c>
      <c r="I12" s="353">
        <v>18</v>
      </c>
      <c r="J12" s="44">
        <f t="shared" si="1"/>
        <v>1</v>
      </c>
      <c r="K12" s="44">
        <f t="shared" si="2"/>
        <v>1</v>
      </c>
      <c r="L12" s="44">
        <f t="shared" si="3"/>
        <v>1</v>
      </c>
      <c r="M12" s="44">
        <f t="shared" si="0"/>
        <v>525</v>
      </c>
      <c r="N12" s="230">
        <f t="shared" si="4"/>
        <v>135</v>
      </c>
      <c r="O12" s="261">
        <f t="shared" si="5"/>
        <v>660</v>
      </c>
      <c r="P12" s="52"/>
      <c r="Q12" s="42"/>
      <c r="R12" s="58"/>
      <c r="S12" s="58"/>
      <c r="T12" s="25">
        <f>SUM(T9:T10)</f>
        <v>16000</v>
      </c>
      <c r="U12" s="25"/>
      <c r="V12" s="25">
        <f>SUM(V9:V10)</f>
        <v>10560</v>
      </c>
      <c r="W12" s="60">
        <f>V12/T12</f>
        <v>0.66</v>
      </c>
      <c r="X12" s="39"/>
      <c r="Y12" s="31"/>
    </row>
    <row r="13" spans="2:25" ht="16.5">
      <c r="B13" s="45"/>
      <c r="C13" s="15"/>
      <c r="D13" s="16" t="str">
        <f>'CC Factors'!S15</f>
        <v>4's Clssroom</v>
      </c>
      <c r="E13" s="292">
        <f>'CC Factors'!$AD41</f>
        <v>15</v>
      </c>
      <c r="F13" s="11">
        <f>'CC Factors'!L13</f>
        <v>10</v>
      </c>
      <c r="G13" s="11">
        <f>'CC Factors'!M13</f>
        <v>24</v>
      </c>
      <c r="H13" s="352">
        <v>10</v>
      </c>
      <c r="I13" s="353">
        <v>20</v>
      </c>
      <c r="J13" s="44">
        <f t="shared" si="1"/>
        <v>1</v>
      </c>
      <c r="K13" s="44">
        <f t="shared" si="2"/>
        <v>1</v>
      </c>
      <c r="L13" s="44">
        <f t="shared" si="3"/>
        <v>1</v>
      </c>
      <c r="M13" s="44">
        <f t="shared" si="0"/>
        <v>525</v>
      </c>
      <c r="N13" s="230">
        <f t="shared" si="4"/>
        <v>135</v>
      </c>
      <c r="O13" s="261">
        <f t="shared" si="5"/>
        <v>660</v>
      </c>
      <c r="P13" s="52"/>
      <c r="Q13" s="42"/>
      <c r="X13" s="39"/>
      <c r="Y13" s="31"/>
    </row>
    <row r="14" spans="2:24" ht="17.25" thickBot="1">
      <c r="B14" s="45"/>
      <c r="C14" s="15"/>
      <c r="D14" s="16" t="str">
        <f>'CC Factors'!S16</f>
        <v>Before/After Care</v>
      </c>
      <c r="E14" s="292">
        <f>'CC Factors'!$AD42</f>
        <v>15</v>
      </c>
      <c r="F14" s="11">
        <f>'CC Factors'!L14</f>
        <v>17</v>
      </c>
      <c r="G14" s="11">
        <f>'CC Factors'!M14</f>
        <v>34</v>
      </c>
      <c r="H14" s="352">
        <v>10</v>
      </c>
      <c r="I14" s="353">
        <v>20</v>
      </c>
      <c r="J14" s="44">
        <f t="shared" si="1"/>
        <v>1</v>
      </c>
      <c r="K14" s="44">
        <f t="shared" si="2"/>
        <v>1</v>
      </c>
      <c r="L14" s="44">
        <f t="shared" si="3"/>
        <v>0</v>
      </c>
      <c r="M14" s="44">
        <f t="shared" si="0"/>
        <v>525</v>
      </c>
      <c r="N14" s="230">
        <f t="shared" si="4"/>
        <v>135</v>
      </c>
      <c r="O14" s="261">
        <f t="shared" si="5"/>
        <v>660</v>
      </c>
      <c r="P14" s="32"/>
      <c r="Q14" s="524" t="s">
        <v>278</v>
      </c>
      <c r="R14" s="61"/>
      <c r="S14" s="61"/>
      <c r="T14" s="61"/>
      <c r="U14" s="61"/>
      <c r="V14" s="61"/>
      <c r="W14" s="61"/>
      <c r="X14" s="51"/>
    </row>
    <row r="15" spans="2:20" ht="17.25" thickBot="1">
      <c r="B15" s="46"/>
      <c r="C15" s="17"/>
      <c r="D15" s="18" t="str">
        <f>'CC Factors'!S17</f>
        <v>Summer Camp</v>
      </c>
      <c r="E15" s="292">
        <f>'CC Factors'!$AD43</f>
        <v>29</v>
      </c>
      <c r="F15" s="12">
        <f>'CC Factors'!L15</f>
        <v>17</v>
      </c>
      <c r="G15" s="12">
        <f>'CC Factors'!M15</f>
        <v>34</v>
      </c>
      <c r="H15" s="354">
        <v>15</v>
      </c>
      <c r="I15" s="355">
        <v>30</v>
      </c>
      <c r="J15" s="44">
        <f t="shared" si="1"/>
        <v>1</v>
      </c>
      <c r="K15" s="26">
        <f t="shared" si="2"/>
        <v>1</v>
      </c>
      <c r="L15" s="26">
        <f t="shared" si="3"/>
        <v>1</v>
      </c>
      <c r="M15" s="44">
        <f t="shared" si="0"/>
        <v>1015</v>
      </c>
      <c r="N15" s="230">
        <f t="shared" si="4"/>
        <v>261</v>
      </c>
      <c r="O15" s="261">
        <f t="shared" si="5"/>
        <v>1276</v>
      </c>
      <c r="P15" s="32"/>
      <c r="Q15" s="19"/>
      <c r="R15" s="19"/>
      <c r="S15" s="19"/>
      <c r="T15" s="19"/>
    </row>
    <row r="16" spans="2:16" ht="16.5">
      <c r="B16" s="42"/>
      <c r="C16" s="24"/>
      <c r="D16" s="47" t="s">
        <v>22</v>
      </c>
      <c r="E16" s="28">
        <f>SUM(E9:E15)</f>
        <v>89</v>
      </c>
      <c r="F16" s="519" t="s">
        <v>271</v>
      </c>
      <c r="G16" s="38"/>
      <c r="H16" s="38"/>
      <c r="I16" s="38"/>
      <c r="J16" s="28">
        <f>SUM(J9:J15)</f>
        <v>6</v>
      </c>
      <c r="K16" s="28">
        <f>SUM(K9:K15)</f>
        <v>6</v>
      </c>
      <c r="L16" s="28">
        <f>SUM(L9:L15)</f>
        <v>4</v>
      </c>
      <c r="N16" s="30"/>
      <c r="O16" s="262">
        <f>SUM(O9:O15)</f>
        <v>4052</v>
      </c>
      <c r="P16" s="31"/>
    </row>
    <row r="17" spans="2:16" ht="16.5">
      <c r="B17" s="42"/>
      <c r="C17" s="23"/>
      <c r="D17" s="38"/>
      <c r="E17" s="24"/>
      <c r="F17" s="24"/>
      <c r="G17" s="38"/>
      <c r="H17" s="38"/>
      <c r="I17" s="38"/>
      <c r="J17" s="38"/>
      <c r="K17" s="38"/>
      <c r="L17" s="23"/>
      <c r="N17" s="29" t="s">
        <v>191</v>
      </c>
      <c r="O17" s="261">
        <f>IF(K19&gt;25,500+O$16*0.1,O16*0.15)</f>
        <v>607.8</v>
      </c>
      <c r="P17" s="31"/>
    </row>
    <row r="18" spans="2:16" ht="16.5">
      <c r="B18" s="42"/>
      <c r="C18" s="24"/>
      <c r="D18" s="24"/>
      <c r="E18" s="24"/>
      <c r="F18" s="24"/>
      <c r="G18" s="24"/>
      <c r="H18" s="24"/>
      <c r="I18" s="24"/>
      <c r="J18" s="24"/>
      <c r="K18" s="24"/>
      <c r="L18" s="24"/>
      <c r="N18" s="48" t="s">
        <v>272</v>
      </c>
      <c r="O18" s="261">
        <f>E16*5</f>
        <v>445</v>
      </c>
      <c r="P18" s="31"/>
    </row>
    <row r="19" spans="2:16" ht="16.5">
      <c r="B19" s="42"/>
      <c r="C19" s="24"/>
      <c r="D19" s="24"/>
      <c r="E19" s="24"/>
      <c r="F19" s="24"/>
      <c r="G19" s="24"/>
      <c r="H19" s="24"/>
      <c r="I19" s="24"/>
      <c r="J19" s="48" t="s">
        <v>192</v>
      </c>
      <c r="K19" s="258">
        <v>0</v>
      </c>
      <c r="L19" s="24"/>
      <c r="N19" s="48" t="s">
        <v>124</v>
      </c>
      <c r="O19" s="261">
        <f>IF(K19&gt;25,K19*12+1600,0)</f>
        <v>0</v>
      </c>
      <c r="P19" s="31"/>
    </row>
    <row r="20" spans="2:16" ht="16.5">
      <c r="B20" s="42"/>
      <c r="C20" s="24"/>
      <c r="D20" s="24"/>
      <c r="E20" s="24"/>
      <c r="F20" s="24"/>
      <c r="G20" s="24"/>
      <c r="H20" s="24"/>
      <c r="I20" s="24"/>
      <c r="J20" s="24"/>
      <c r="K20" s="24"/>
      <c r="L20" s="24"/>
      <c r="N20" s="48" t="s">
        <v>273</v>
      </c>
      <c r="O20" s="261">
        <f>O$16*0.17</f>
        <v>688.84</v>
      </c>
      <c r="P20" s="31"/>
    </row>
    <row r="21" spans="2:16" ht="13.5">
      <c r="B21" s="42"/>
      <c r="C21" s="24"/>
      <c r="D21" s="24"/>
      <c r="E21" s="24"/>
      <c r="F21" s="24"/>
      <c r="G21" s="24"/>
      <c r="H21" s="24"/>
      <c r="I21" s="24"/>
      <c r="J21" s="24"/>
      <c r="K21" s="24"/>
      <c r="L21" s="24"/>
      <c r="N21" s="48" t="s">
        <v>125</v>
      </c>
      <c r="O21" s="261">
        <f>O$16*0.15</f>
        <v>607.8</v>
      </c>
      <c r="P21" s="31"/>
    </row>
    <row r="22" spans="2:16" ht="15" thickBot="1">
      <c r="B22" s="42"/>
      <c r="C22" s="24"/>
      <c r="D22" s="24"/>
      <c r="E22" s="24"/>
      <c r="F22" s="24"/>
      <c r="G22" s="24"/>
      <c r="H22" s="24"/>
      <c r="I22" s="24"/>
      <c r="J22" s="24"/>
      <c r="K22" s="24"/>
      <c r="L22" s="24"/>
      <c r="N22" s="48" t="s">
        <v>126</v>
      </c>
      <c r="O22" s="261">
        <f>O$16*0.1</f>
        <v>405.20000000000005</v>
      </c>
      <c r="P22" s="31"/>
    </row>
    <row r="23" spans="2:16" ht="13.5">
      <c r="B23" s="42"/>
      <c r="C23" s="24"/>
      <c r="D23" s="24"/>
      <c r="E23" s="24"/>
      <c r="F23" s="24"/>
      <c r="G23" s="24"/>
      <c r="H23" s="24"/>
      <c r="I23" s="24"/>
      <c r="J23" s="24"/>
      <c r="K23" s="24"/>
      <c r="L23" s="24"/>
      <c r="N23" s="48" t="s">
        <v>127</v>
      </c>
      <c r="O23" s="262">
        <f>SUM(O16:O22)</f>
        <v>6806.64</v>
      </c>
      <c r="P23" s="31"/>
    </row>
    <row r="24" spans="2:16" ht="15" thickBot="1">
      <c r="B24" s="49"/>
      <c r="C24" s="50"/>
      <c r="D24" s="50"/>
      <c r="E24" s="50"/>
      <c r="F24" s="50"/>
      <c r="G24" s="50"/>
      <c r="H24" s="50"/>
      <c r="I24" s="50"/>
      <c r="J24" s="50"/>
      <c r="K24" s="50"/>
      <c r="L24" s="50"/>
      <c r="M24" s="50"/>
      <c r="N24" s="50"/>
      <c r="O24" s="51"/>
      <c r="P24" s="31"/>
    </row>
    <row r="27" ht="13.5">
      <c r="B27" s="554" t="s">
        <v>346</v>
      </c>
    </row>
    <row r="28" spans="2:12" ht="25.5" customHeight="1">
      <c r="B28" s="560" t="s">
        <v>16</v>
      </c>
      <c r="C28" s="558" t="s">
        <v>291</v>
      </c>
      <c r="E28" s="561" t="s">
        <v>290</v>
      </c>
      <c r="F28" s="558">
        <v>4</v>
      </c>
      <c r="I28" s="560" t="s">
        <v>16</v>
      </c>
      <c r="J28" s="558" t="s">
        <v>294</v>
      </c>
      <c r="K28" s="561" t="s">
        <v>290</v>
      </c>
      <c r="L28" s="558">
        <v>9</v>
      </c>
    </row>
    <row r="29" spans="2:13" s="555" customFormat="1" ht="51" customHeight="1">
      <c r="B29" s="556" t="s">
        <v>287</v>
      </c>
      <c r="C29" s="557" t="s">
        <v>292</v>
      </c>
      <c r="D29" s="557" t="s">
        <v>293</v>
      </c>
      <c r="E29" s="557" t="s">
        <v>288</v>
      </c>
      <c r="F29" s="557" t="s">
        <v>289</v>
      </c>
      <c r="G29" s="563" t="s">
        <v>296</v>
      </c>
      <c r="I29" s="557" t="s">
        <v>292</v>
      </c>
      <c r="J29" s="557" t="s">
        <v>293</v>
      </c>
      <c r="K29" s="557" t="s">
        <v>288</v>
      </c>
      <c r="L29" s="557" t="s">
        <v>289</v>
      </c>
      <c r="M29" s="563" t="s">
        <v>296</v>
      </c>
    </row>
    <row r="30" spans="2:13" ht="13.5">
      <c r="B30" s="562">
        <v>0.25</v>
      </c>
      <c r="C30" s="558">
        <v>2</v>
      </c>
      <c r="D30" s="558"/>
      <c r="E30" s="558">
        <v>0</v>
      </c>
      <c r="F30" s="558">
        <v>1</v>
      </c>
      <c r="G30" s="564">
        <f>IF((C30+D30)&lt;=$L$28*(E30+F30),1,0)</f>
        <v>1</v>
      </c>
      <c r="I30" s="558">
        <v>2</v>
      </c>
      <c r="J30" s="558">
        <v>2</v>
      </c>
      <c r="K30" s="558">
        <v>0</v>
      </c>
      <c r="L30" s="558">
        <v>1</v>
      </c>
      <c r="M30" s="564">
        <f>IF((I30+J30)&lt;=$L$28*(K30+L30),1,0)</f>
        <v>1</v>
      </c>
    </row>
    <row r="31" spans="2:13" ht="13.5">
      <c r="B31" s="562">
        <v>0.2916666666666667</v>
      </c>
      <c r="C31" s="558">
        <v>4</v>
      </c>
      <c r="D31" s="558"/>
      <c r="E31" s="558">
        <v>1</v>
      </c>
      <c r="F31" s="558">
        <v>0</v>
      </c>
      <c r="G31" s="564">
        <f aca="true" t="shared" si="6" ref="G31:G41">IF((C31+D31)&lt;=$L$28*(E31+F31),1,0)</f>
        <v>1</v>
      </c>
      <c r="I31" s="558">
        <v>4</v>
      </c>
      <c r="J31" s="558">
        <v>4</v>
      </c>
      <c r="K31" s="558">
        <v>1</v>
      </c>
      <c r="L31" s="558">
        <v>0</v>
      </c>
      <c r="M31" s="564">
        <f aca="true" t="shared" si="7" ref="M31:M41">IF((I31+J31)&lt;=$L$28*(K31+L31),1,0)</f>
        <v>1</v>
      </c>
    </row>
    <row r="32" spans="2:13" ht="13.5">
      <c r="B32" s="562">
        <v>0.3333333333333333</v>
      </c>
      <c r="C32" s="558">
        <v>8</v>
      </c>
      <c r="D32" s="558"/>
      <c r="E32" s="558">
        <v>1</v>
      </c>
      <c r="F32" s="558">
        <v>1</v>
      </c>
      <c r="G32" s="564">
        <f t="shared" si="6"/>
        <v>1</v>
      </c>
      <c r="I32" s="558">
        <v>6</v>
      </c>
      <c r="J32" s="558">
        <v>6</v>
      </c>
      <c r="K32" s="558">
        <v>1</v>
      </c>
      <c r="L32" s="558">
        <v>1</v>
      </c>
      <c r="M32" s="564">
        <f t="shared" si="7"/>
        <v>1</v>
      </c>
    </row>
    <row r="33" spans="2:13" ht="13.5">
      <c r="B33" s="562">
        <v>0.375</v>
      </c>
      <c r="C33" s="558">
        <v>11</v>
      </c>
      <c r="D33" s="558"/>
      <c r="E33" s="558">
        <v>1</v>
      </c>
      <c r="F33" s="558">
        <v>2</v>
      </c>
      <c r="G33" s="564">
        <f t="shared" si="6"/>
        <v>1</v>
      </c>
      <c r="I33" s="558">
        <v>9</v>
      </c>
      <c r="J33" s="558">
        <v>9</v>
      </c>
      <c r="K33" s="558">
        <v>2</v>
      </c>
      <c r="L33" s="558">
        <v>0</v>
      </c>
      <c r="M33" s="564">
        <f t="shared" si="7"/>
        <v>1</v>
      </c>
    </row>
    <row r="34" spans="2:13" ht="13.5">
      <c r="B34" s="562">
        <v>0.4166666666666667</v>
      </c>
      <c r="C34" s="558">
        <v>12</v>
      </c>
      <c r="D34" s="558"/>
      <c r="E34" s="558">
        <v>1</v>
      </c>
      <c r="F34" s="558">
        <v>2</v>
      </c>
      <c r="G34" s="564">
        <f t="shared" si="6"/>
        <v>1</v>
      </c>
      <c r="I34" s="558">
        <v>9</v>
      </c>
      <c r="J34" s="558">
        <v>9</v>
      </c>
      <c r="K34" s="558">
        <v>2</v>
      </c>
      <c r="L34" s="558">
        <v>0</v>
      </c>
      <c r="M34" s="564">
        <f t="shared" si="7"/>
        <v>1</v>
      </c>
    </row>
    <row r="35" spans="2:13" ht="13.5">
      <c r="B35" s="562">
        <v>0.4583333333333333</v>
      </c>
      <c r="C35" s="558">
        <v>12</v>
      </c>
      <c r="D35" s="558"/>
      <c r="E35" s="558">
        <v>1</v>
      </c>
      <c r="F35" s="558">
        <v>2</v>
      </c>
      <c r="G35" s="564">
        <f t="shared" si="6"/>
        <v>1</v>
      </c>
      <c r="I35" s="558">
        <v>9</v>
      </c>
      <c r="J35" s="558">
        <v>9</v>
      </c>
      <c r="K35" s="558">
        <v>2</v>
      </c>
      <c r="L35" s="558">
        <v>0</v>
      </c>
      <c r="M35" s="564">
        <f t="shared" si="7"/>
        <v>1</v>
      </c>
    </row>
    <row r="36" spans="2:13" ht="13.5">
      <c r="B36" s="562">
        <v>0.5</v>
      </c>
      <c r="C36" s="558">
        <v>10</v>
      </c>
      <c r="D36" s="558"/>
      <c r="E36" s="558">
        <v>1</v>
      </c>
      <c r="F36" s="558">
        <v>2</v>
      </c>
      <c r="G36" s="564">
        <f t="shared" si="6"/>
        <v>1</v>
      </c>
      <c r="I36" s="558">
        <v>9</v>
      </c>
      <c r="J36" s="558">
        <v>9</v>
      </c>
      <c r="K36" s="558">
        <v>2</v>
      </c>
      <c r="L36" s="558">
        <v>0</v>
      </c>
      <c r="M36" s="564">
        <f t="shared" si="7"/>
        <v>1</v>
      </c>
    </row>
    <row r="37" spans="2:13" ht="13.5">
      <c r="B37" s="562">
        <v>0.041666666666666664</v>
      </c>
      <c r="C37" s="558">
        <v>10</v>
      </c>
      <c r="D37" s="558"/>
      <c r="E37" s="558">
        <v>1</v>
      </c>
      <c r="F37" s="558">
        <v>2</v>
      </c>
      <c r="G37" s="564">
        <f t="shared" si="6"/>
        <v>1</v>
      </c>
      <c r="I37" s="558">
        <v>9</v>
      </c>
      <c r="J37" s="558">
        <v>9</v>
      </c>
      <c r="K37" s="558">
        <v>2</v>
      </c>
      <c r="L37" s="558">
        <v>0</v>
      </c>
      <c r="M37" s="564">
        <f t="shared" si="7"/>
        <v>1</v>
      </c>
    </row>
    <row r="38" spans="2:13" ht="13.5">
      <c r="B38" s="562">
        <v>0.08333333333333333</v>
      </c>
      <c r="C38" s="558">
        <v>9</v>
      </c>
      <c r="D38" s="558"/>
      <c r="E38" s="558">
        <v>1</v>
      </c>
      <c r="F38" s="558">
        <v>2</v>
      </c>
      <c r="G38" s="564">
        <f t="shared" si="6"/>
        <v>1</v>
      </c>
      <c r="I38" s="558">
        <v>9</v>
      </c>
      <c r="J38" s="558">
        <v>9</v>
      </c>
      <c r="K38" s="558">
        <v>2</v>
      </c>
      <c r="L38" s="558">
        <v>0</v>
      </c>
      <c r="M38" s="564">
        <f t="shared" si="7"/>
        <v>1</v>
      </c>
    </row>
    <row r="39" spans="2:13" ht="13.5">
      <c r="B39" s="562">
        <v>0.125</v>
      </c>
      <c r="C39" s="558">
        <v>8</v>
      </c>
      <c r="D39" s="558"/>
      <c r="E39" s="558">
        <v>1</v>
      </c>
      <c r="F39" s="558">
        <v>1</v>
      </c>
      <c r="G39" s="564">
        <f t="shared" si="6"/>
        <v>1</v>
      </c>
      <c r="I39" s="558">
        <v>8</v>
      </c>
      <c r="J39" s="558">
        <v>9</v>
      </c>
      <c r="K39" s="558">
        <v>2</v>
      </c>
      <c r="L39" s="558">
        <v>0</v>
      </c>
      <c r="M39" s="564">
        <f t="shared" si="7"/>
        <v>1</v>
      </c>
    </row>
    <row r="40" spans="2:13" ht="13.5">
      <c r="B40" s="562">
        <v>0.16666666666666666</v>
      </c>
      <c r="C40" s="558">
        <v>6</v>
      </c>
      <c r="D40" s="558"/>
      <c r="E40" s="558">
        <v>1</v>
      </c>
      <c r="F40" s="558">
        <v>1</v>
      </c>
      <c r="G40" s="564">
        <f t="shared" si="6"/>
        <v>1</v>
      </c>
      <c r="I40" s="558">
        <v>8</v>
      </c>
      <c r="J40" s="558">
        <v>8</v>
      </c>
      <c r="K40" s="558">
        <v>1</v>
      </c>
      <c r="L40" s="558">
        <v>1</v>
      </c>
      <c r="M40" s="564">
        <f t="shared" si="7"/>
        <v>1</v>
      </c>
    </row>
    <row r="41" spans="2:13" ht="13.5">
      <c r="B41" s="562">
        <v>0.20833333333333334</v>
      </c>
      <c r="C41" s="558">
        <v>3</v>
      </c>
      <c r="D41" s="558"/>
      <c r="E41" s="558">
        <v>0</v>
      </c>
      <c r="F41" s="558">
        <v>1</v>
      </c>
      <c r="G41" s="564">
        <f t="shared" si="6"/>
        <v>1</v>
      </c>
      <c r="I41" s="558">
        <v>6</v>
      </c>
      <c r="J41" s="558">
        <v>5</v>
      </c>
      <c r="K41" s="558">
        <v>1</v>
      </c>
      <c r="L41" s="558">
        <v>1</v>
      </c>
      <c r="M41" s="564">
        <f t="shared" si="7"/>
        <v>1</v>
      </c>
    </row>
    <row r="43" spans="4:12" ht="13.5">
      <c r="D43" s="560" t="s">
        <v>295</v>
      </c>
      <c r="E43" s="559">
        <f>SUM(E30:E41)</f>
        <v>10</v>
      </c>
      <c r="F43" s="559">
        <f>SUM(F30:F41)</f>
        <v>17</v>
      </c>
      <c r="J43" s="560" t="s">
        <v>295</v>
      </c>
      <c r="K43" s="559">
        <f>SUM(K30:K41)</f>
        <v>18</v>
      </c>
      <c r="L43" s="559">
        <f>SUM(L30:L41)</f>
        <v>4</v>
      </c>
    </row>
    <row r="44" spans="4:12" ht="13.5">
      <c r="D44" s="560" t="s">
        <v>297</v>
      </c>
      <c r="E44" s="559">
        <f>E43/MAX(E30:E41)</f>
        <v>10</v>
      </c>
      <c r="F44" s="559">
        <f>F43/MAX(F30:F41)</f>
        <v>8.5</v>
      </c>
      <c r="J44" s="560" t="s">
        <v>297</v>
      </c>
      <c r="K44" s="559">
        <f>K43/MAX(K30:K41)</f>
        <v>9</v>
      </c>
      <c r="L44" s="559">
        <f>L43/MAX(L30:L41)</f>
        <v>4</v>
      </c>
    </row>
    <row r="45" spans="4:12" ht="13.5">
      <c r="D45" s="560" t="s">
        <v>298</v>
      </c>
      <c r="E45" s="559">
        <f>E44*5</f>
        <v>50</v>
      </c>
      <c r="F45" s="559">
        <f>F44*5</f>
        <v>42.5</v>
      </c>
      <c r="J45" s="560" t="s">
        <v>298</v>
      </c>
      <c r="K45" s="559">
        <f>K44*5</f>
        <v>45</v>
      </c>
      <c r="L45" s="559">
        <f>L44*5</f>
        <v>20</v>
      </c>
    </row>
    <row r="47" ht="13.5">
      <c r="C47" t="s">
        <v>299</v>
      </c>
    </row>
  </sheetData>
  <sheetProtection sheet="1" objects="1" scenarios="1"/>
  <mergeCells count="1">
    <mergeCell ref="B1:J1"/>
  </mergeCells>
  <printOptions/>
  <pageMargins left="0.75" right="0.75" top="1" bottom="1" header="0.5" footer="0.5"/>
  <pageSetup cellComments="asDisplayed" fitToHeight="3" fitToWidth="1" horizontalDpi="600" verticalDpi="600" orientation="landscape" scale="5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Open Arms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Barlau</dc:creator>
  <cp:keywords/>
  <dc:description/>
  <cp:lastModifiedBy>Microsoft Office User</cp:lastModifiedBy>
  <cp:lastPrinted>2010-06-28T21:48:43Z</cp:lastPrinted>
  <dcterms:created xsi:type="dcterms:W3CDTF">2002-12-06T03:19:38Z</dcterms:created>
  <dcterms:modified xsi:type="dcterms:W3CDTF">2021-04-19T16:43:28Z</dcterms:modified>
  <cp:category/>
  <cp:version/>
  <cp:contentType/>
  <cp:contentStatus/>
</cp:coreProperties>
</file>